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01" windowWidth="28740" windowHeight="14970" tabRatio="652" firstSheet="1" activeTab="1"/>
  </bookViews>
  <sheets>
    <sheet name="20년간40%" sheetId="1" state="hidden" r:id="rId1"/>
    <sheet name="예상연금2011년부터 가입" sheetId="2" r:id="rId2"/>
    <sheet name="장애연금" sheetId="3" r:id="rId3"/>
    <sheet name="유족연금" sheetId="4" r:id="rId4"/>
  </sheets>
  <definedNames>
    <definedName name="_xlnm.Print_Area" localSheetId="1">'예상연금2011년부터 가입'!$A$1:$J$55</definedName>
    <definedName name="_xlnm.Print_Area" localSheetId="3">'유족연금'!$A$1:$F$55</definedName>
    <definedName name="_xlnm.Print_Area" localSheetId="2">'장애연금'!$A$1:$G$55</definedName>
  </definedNames>
  <calcPr fullCalcOnLoad="1"/>
</workbook>
</file>

<file path=xl/comments2.xml><?xml version="1.0" encoding="utf-8"?>
<comments xmlns="http://schemas.openxmlformats.org/spreadsheetml/2006/main">
  <authors>
    <author>.</author>
  </authors>
  <commentList>
    <comment ref="D56" authorId="0">
      <text>
        <r>
          <rPr>
            <b/>
            <sz val="9"/>
            <rFont val="굴림"/>
            <family val="3"/>
          </rPr>
          <t>부양가족연금대상자가 있을 경우 인원수를 입력하세요</t>
        </r>
      </text>
    </comment>
    <comment ref="O56" authorId="0">
      <text>
        <r>
          <rPr>
            <b/>
            <sz val="9"/>
            <rFont val="굴림"/>
            <family val="3"/>
          </rPr>
          <t>가급대상자가 있을 경우 인원수를 입력하세요</t>
        </r>
      </text>
    </comment>
    <comment ref="W56" authorId="0">
      <text>
        <r>
          <rPr>
            <b/>
            <sz val="9"/>
            <rFont val="굴림"/>
            <family val="3"/>
          </rPr>
          <t>가급대상자가 있을 경우 인원수를 입력하세요</t>
        </r>
      </text>
    </comment>
  </commentList>
</comments>
</file>

<file path=xl/comments3.xml><?xml version="1.0" encoding="utf-8"?>
<comments xmlns="http://schemas.openxmlformats.org/spreadsheetml/2006/main">
  <authors>
    <author>.</author>
  </authors>
  <commentList>
    <comment ref="D56" authorId="0">
      <text>
        <r>
          <rPr>
            <b/>
            <sz val="9"/>
            <rFont val="굴림"/>
            <family val="3"/>
          </rPr>
          <t>부양가족연금대상자가 있을 경우 인원수를 입력하세요</t>
        </r>
      </text>
    </comment>
  </commentList>
</comments>
</file>

<file path=xl/comments4.xml><?xml version="1.0" encoding="utf-8"?>
<comments xmlns="http://schemas.openxmlformats.org/spreadsheetml/2006/main">
  <authors>
    <author>.</author>
    <author>user</author>
  </authors>
  <commentList>
    <comment ref="D56" authorId="0">
      <text>
        <r>
          <rPr>
            <b/>
            <sz val="9"/>
            <rFont val="굴림"/>
            <family val="3"/>
          </rPr>
          <t>부양가족연금대상 있을 경우 인원수를 입력하세요</t>
        </r>
      </text>
    </comment>
    <comment ref="D6" authorId="1">
      <text>
        <r>
          <rPr>
            <sz val="9"/>
            <rFont val="굴림"/>
            <family val="3"/>
          </rPr>
          <t>1998년 최초 가입
2008년 사유발생</t>
        </r>
      </text>
    </comment>
    <comment ref="E6" authorId="1">
      <text>
        <r>
          <rPr>
            <sz val="9"/>
            <rFont val="굴림"/>
            <family val="3"/>
          </rPr>
          <t>1994년 최초가입하여 15년 가입가정
2008년 사유발생</t>
        </r>
      </text>
    </comment>
    <comment ref="F6" authorId="1">
      <text>
        <r>
          <rPr>
            <sz val="9"/>
            <rFont val="굴림"/>
            <family val="3"/>
          </rPr>
          <t>1989년 최초가입하여 20년 가입가정
2008년 사유발생</t>
        </r>
      </text>
    </comment>
  </commentList>
</comments>
</file>

<file path=xl/sharedStrings.xml><?xml version="1.0" encoding="utf-8"?>
<sst xmlns="http://schemas.openxmlformats.org/spreadsheetml/2006/main" count="135" uniqueCount="101">
  <si>
    <t>주)</t>
  </si>
  <si>
    <t>등급</t>
  </si>
  <si>
    <t>평균소득월액(A)</t>
  </si>
  <si>
    <t>금액</t>
  </si>
  <si>
    <t>인원수</t>
  </si>
  <si>
    <t>배우자</t>
  </si>
  <si>
    <t>자녀</t>
  </si>
  <si>
    <t>부모</t>
  </si>
  <si>
    <t>연금보험료</t>
  </si>
  <si>
    <t>( 9% )</t>
  </si>
  <si>
    <t>2009년부터</t>
  </si>
  <si>
    <t>2010년부터</t>
  </si>
  <si>
    <t>2011년부터</t>
  </si>
  <si>
    <t>2012년부터</t>
  </si>
  <si>
    <t>2013년부터</t>
  </si>
  <si>
    <t>2014년부터</t>
  </si>
  <si>
    <t>2015년부터</t>
  </si>
  <si>
    <t>2016년부터</t>
  </si>
  <si>
    <t>2017년부터</t>
  </si>
  <si>
    <t>2018년부터</t>
  </si>
  <si>
    <t>2019년부터</t>
  </si>
  <si>
    <t>2020년부터</t>
  </si>
  <si>
    <t>2021년부터</t>
  </si>
  <si>
    <t>2022년부터</t>
  </si>
  <si>
    <t>2023년부터</t>
  </si>
  <si>
    <t>2024년부터</t>
  </si>
  <si>
    <t>2025년부터</t>
  </si>
  <si>
    <t>2026년부터</t>
  </si>
  <si>
    <t>2027년부터</t>
  </si>
  <si>
    <t>법개정으로 인한 예상연금월액</t>
  </si>
  <si>
    <t>1. 예상연금월액에 표출되는 B값을 분홍색란에 입력</t>
  </si>
  <si>
    <t>2. 가입월수를 분홍색란에 입력</t>
  </si>
  <si>
    <t>*1000원단위까지만 상담자료로 활용해주세요</t>
  </si>
  <si>
    <t>A값</t>
  </si>
  <si>
    <t>현재A값</t>
  </si>
  <si>
    <t>3개년 평균</t>
  </si>
  <si>
    <t>B값</t>
  </si>
  <si>
    <t>1998년까지</t>
  </si>
  <si>
    <t>적용상수</t>
  </si>
  <si>
    <t>2007년까지</t>
  </si>
  <si>
    <t>2008년부터</t>
  </si>
  <si>
    <t>2028년이후</t>
  </si>
  <si>
    <t>10년(50%)</t>
  </si>
  <si>
    <t>15년(75%)</t>
  </si>
  <si>
    <t>20년(100%)</t>
  </si>
  <si>
    <t>30년(100%)</t>
  </si>
  <si>
    <t>40년(100%)</t>
  </si>
  <si>
    <t>가  입  기  간</t>
  </si>
  <si>
    <t>10년</t>
  </si>
  <si>
    <t>15년</t>
  </si>
  <si>
    <t>20년</t>
  </si>
  <si>
    <t>30년</t>
  </si>
  <si>
    <t>40년</t>
  </si>
  <si>
    <t>25년</t>
  </si>
  <si>
    <t>35년</t>
  </si>
  <si>
    <t>25년(100%)</t>
  </si>
  <si>
    <t>35년(100%)</t>
  </si>
  <si>
    <t>( 단위 : 원/월 )</t>
  </si>
  <si>
    <t>연금보험료</t>
  </si>
  <si>
    <t>장  애
1   급</t>
  </si>
  <si>
    <t>장  애
2   급</t>
  </si>
  <si>
    <t>장  애
3   급</t>
  </si>
  <si>
    <t>일시보상금
(장애4급)</t>
  </si>
  <si>
    <t>가  입  기  간</t>
  </si>
  <si>
    <t>( 9% )</t>
  </si>
  <si>
    <t>10년미만</t>
  </si>
  <si>
    <t>10년∼20년미만</t>
  </si>
  <si>
    <t>20년</t>
  </si>
  <si>
    <t>30년</t>
  </si>
  <si>
    <t>1. 연금액산정 : 1.8(A+B)(1+0.05n/12). "A"- 연금수급전 3년간 전체가입자의 평균소득월액의 평균액, "B"- 가입자 개인의 가입기간중 평균소득월액, "n"- 20년초과 가입월수(상기 예상연금월액은 가입기간 20년이하 기준임)
2. 생계를 유지하고 있는 가족이 있을 경우 배우자 연200,220원, 자녀/부모 1인당 연133,470원의 가급연금액이  가산됩니다.
3. 2007년도에 최초 가입한 것으로 가정하여 현재의 "A"값(2007년도 적용 1,618,914원)으로 산정하였으며, 실제 연금수급월액은 연금수급당시의 "A"값 및 재평가율을 적용합니다.
4. 연금의 월지급액(가급연금액 포함)은 가입자이었던 최종 5년간의 포준소득월액의 평균액과 가입기간중의 표준소득월액의 평균액을 재평가한 금액 중에서 많은 금액을 초과하지 못합니다.</t>
  </si>
  <si>
    <t>1. 연금액산정 : 1.8(A+B)(1+0.05n/12). "A"- 연금수급전 3년간 전체가입자의 평균소득월액의 평균액, "B"- 가입자 개인의 가입기간중 평균소득월액, "n"- 20년초과 가입월수 
2. 가입자 사망당시 생계를 유지하고 있는 가족이 있을 경우 배우자 연200,220원, 자녀/부모 1인당 연133,470원의 가급연금액이  가산됩니다.
3. 2007년도에 최초 가입한 것으로 가정하여 현재의 "A"값(2007년도 적용 1,618,914원)으로 산정하였으며, 실제 연금수급월액은 연금수급당시의 "A"값 및 재평가율을 적용합니다.
4. 연금의 월지급액(가급연금액 포함)은 가입자이었던 최종 5년간의 포준소득월액의 평균액과 가입기간중의 표준소득월액의 평균액을 재평가한 금액 중에서 많은 금액을 초과하지 못합니다. (단, 노령연금수급권자가 사망한 경우 유족연금액은 사망한 자가 지급받던 금액을 초과할 수 없음)</t>
  </si>
  <si>
    <t>가급대상자</t>
  </si>
  <si>
    <t>금액</t>
  </si>
  <si>
    <t>인원수</t>
  </si>
  <si>
    <t>배우자</t>
  </si>
  <si>
    <t>자녀</t>
  </si>
  <si>
    <t>부모</t>
  </si>
  <si>
    <t>가입기간중
평균소득월액(B값)</t>
  </si>
  <si>
    <t>가입기간</t>
  </si>
  <si>
    <t>연금보험료</t>
  </si>
  <si>
    <t>장  애
1   급</t>
  </si>
  <si>
    <t>장  애
2   급</t>
  </si>
  <si>
    <t>장  애
3   급</t>
  </si>
  <si>
    <t>일시보상금
(장애4급)</t>
  </si>
  <si>
    <t>( 9% )</t>
  </si>
  <si>
    <t>금액</t>
  </si>
  <si>
    <t>인원수</t>
  </si>
  <si>
    <t>배우자</t>
  </si>
  <si>
    <t>자녀</t>
  </si>
  <si>
    <t>부모</t>
  </si>
  <si>
    <t>순번</t>
  </si>
  <si>
    <t>순번</t>
  </si>
  <si>
    <t>가입기간중 기준
소득월액평균액(B값)</t>
  </si>
  <si>
    <t>부양가족대상자</t>
  </si>
  <si>
    <t>가입기간중 기준
소득월액평균액(B값)</t>
  </si>
  <si>
    <t>*</t>
  </si>
  <si>
    <t>*</t>
  </si>
  <si>
    <t>순번</t>
  </si>
  <si>
    <t>1. 연금액산정 : {1.455*(A+B)*P1/P+1.44*(A+B)*P2/P+...+1.2*(A+B)*P18/P}(1+0.05n/12). "A"- 연금수급전 3년간 전체가입자의 평균소득월액의 평균액, "B"- 가입자 개인의 가입기간중 기준소득월액의 평균액, "n"- 20년초과 가입월수
2. 생계를 유지하고 있는 가족이 있을 경우 배우자 연227,270원, 자녀/부모 1인당 연151,490원의 부양가족연금액이  가산됩니다.
3. 2011년 1월에 최초 가입한 것으로 가정하여 현재의 "A"값(2011년도 적용 1,824,109원)으로 산정하였으며, 실제 연금수급월액은 연금수급당시의 "A"값 및 재평가율을 적용합니다.
4. 연금의 월지급액(부양가족연금액 포함)은 가입자이었던 최종 5년간의 기준소득월액의 평균액과 가입기간중의 기준소득월액의 평균액을 재평가한 금액 중에서 많은 금액을 초과하지 못합니다.
5. 기준소득월액 3,750,000원은 2011.6월까지는 상한액 3,680,000원 가입 가정</t>
  </si>
  <si>
    <t>1. 연금액산정 : 1.455(A+B)(1+0.05n/12). "A"- 연금수급전 3년간 전체가입자의 평균소득월액의 평균액, "B"- 가입자 개인의 가입기간중 평균소득월액, "n"- 20년초과 가입월수(상기 예상연금월액은 가입기간 20년이하 기준임)
2. 생계를 유지하고 있는 가족이 있을 경우 배우자 연227,270원, 자녀/부모 1인당 연151,490원의 부양가족연금액이  가산됩니다.
3. 2011년 1월에 최초 가입한 것으로 가정하여 현재의 "A"값(2011년도 적용 1,824,109원)으로 산정하였으며, 실제 연금수급월액은 연금수급당시의 "A"값 및 재평가율을 적용합니다.
4. 연금의 월지급액(부양가족연금액 포함)은 가입자이었던 최종 5년간의 기준소득월액의 평균액과 가입기간중의 기준소득월액의 평균액을 재평가한 금액 중에서 많은 금액을 초과하지 못합니다.
5. 기준소득월액 3,750,000원은 2011.7월부터 가입 가정</t>
  </si>
  <si>
    <t>1. 가입자 사망당시 생계를 유지하고 있는 가족이 있을 경우 자녀/부모 1인당 연151,490원의 부양가족연금액이 가산됩니다.
2. 2011년도에 지급사유가 발생한 것으로 가정하여 현재의 "A"값(2011년도 적용 1,824,109원)으로 산정 (10년 미만은 2011년 1월 가입, 10년~20년 미만은 1997년 1월-2011년 12월(15년), 20년은 1992년 1월-2011년 12월(20년)에 가입한 것으로 가정하여 연금액 산정)
3. 연금의 월지급액(부양가족연금액 포함)은 가입자이었던 최종 5년간의 기준소득월액의 평균액과 가입기간중의 기준소득월액의 평균액을 재평가한 금액 중에서 많은 금액을 초과하지 못합니다.(단, 노령연금수급권자가 사망한 경우 유족연금액은 사망한 자가 지급받던 금액을 초과할 수 없음)</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</si>
</sst>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Red]#,##0"/>
    <numFmt numFmtId="181" formatCode="&quot;US$&quot;#,##0.00_);[Red]\(&quot;US$&quot;#,##0.00\)"/>
    <numFmt numFmtId="182" formatCode="&quot;$&quot;#,##0"/>
    <numFmt numFmtId="183" formatCode="_(&quot;$&quot;* #,##0_);_(&quot;$&quot;* \(#,##0\);_(&quot;$&quot;* &quot;-&quot;??_);_(@_)"/>
    <numFmt numFmtId="184" formatCode="_ * #,##0.0_ ;_ * \-#,##0.0_ ;_ * &quot;-&quot;_ ;_ @_ "/>
    <numFmt numFmtId="185" formatCode="_-* #,##0.000_-;\-* #,##0.000_-;_-* &quot;-&quot;???_-;_-@_-"/>
    <numFmt numFmtId="186" formatCode="0_);[Red]\(0\)"/>
    <numFmt numFmtId="187" formatCode="_-* #,##0.0_-;\-* #,##0.0_-;_-* &quot;-&quot;?_-;_-@_-"/>
    <numFmt numFmtId="188" formatCode="_-* #,##0.000_-;\-* #,##0.000_-;_-* &quot;-&quot;??_-;_-@_-"/>
    <numFmt numFmtId="189" formatCode="_-* #,##0.0_-;\-* #,##0.0_-;_-* &quot;-&quot;??_-;_-@_-"/>
    <numFmt numFmtId="190" formatCode="_-* #,##0_-;\-* #,##0_-;_-* &quot;-&quot;??_-;_-@_-"/>
    <numFmt numFmtId="191" formatCode="&quot;Yes&quot;;&quot;Yes&quot;;&quot;No&quot;"/>
    <numFmt numFmtId="192" formatCode="&quot;True&quot;;&quot;True&quot;;&quot;False&quot;"/>
    <numFmt numFmtId="193" formatCode="&quot;On&quot;;&quot;On&quot;;&quot;Off&quot;"/>
    <numFmt numFmtId="194" formatCode="0_ "/>
    <numFmt numFmtId="195" formatCode="#,##0_ "/>
    <numFmt numFmtId="196" formatCode="0.0%"/>
    <numFmt numFmtId="197" formatCode="#,###&quot;원&quot;"/>
    <numFmt numFmtId="198" formatCode="#,###&quot;개월&quot;"/>
  </numFmts>
  <fonts count="63">
    <font>
      <sz val="12"/>
      <name val="돋움체"/>
      <family val="3"/>
    </font>
    <font>
      <sz val="11"/>
      <name val="돋움"/>
      <family val="3"/>
    </font>
    <font>
      <sz val="12"/>
      <name val="바탕체"/>
      <family val="1"/>
    </font>
    <font>
      <sz val="10"/>
      <name val="Arial"/>
      <family val="2"/>
    </font>
    <font>
      <sz val="10"/>
      <name val="MS Sans Serif"/>
      <family val="2"/>
    </font>
    <font>
      <sz val="8"/>
      <name val="Arial"/>
      <family val="2"/>
    </font>
    <font>
      <sz val="8"/>
      <name val="돋움"/>
      <family val="3"/>
    </font>
    <font>
      <u val="single"/>
      <sz val="10"/>
      <color indexed="14"/>
      <name val="MS Sans Serif"/>
      <family val="2"/>
    </font>
    <font>
      <u val="single"/>
      <sz val="12"/>
      <color indexed="12"/>
      <name val="Tms Rmn"/>
      <family val="1"/>
    </font>
    <font>
      <b/>
      <sz val="10"/>
      <name val="Helv"/>
      <family val="2"/>
    </font>
    <font>
      <b/>
      <sz val="12"/>
      <name val="Helv"/>
      <family val="2"/>
    </font>
    <font>
      <b/>
      <sz val="12"/>
      <name val="Arial"/>
      <family val="2"/>
    </font>
    <font>
      <u val="single"/>
      <sz val="10"/>
      <color indexed="12"/>
      <name val="MS Sans Serif"/>
      <family val="2"/>
    </font>
    <font>
      <b/>
      <sz val="11"/>
      <name val="Helv"/>
      <family val="2"/>
    </font>
    <font>
      <sz val="8"/>
      <name val="견명조"/>
      <family val="1"/>
    </font>
    <font>
      <sz val="11"/>
      <name val="굴림체"/>
      <family val="3"/>
    </font>
    <font>
      <sz val="11"/>
      <color indexed="8"/>
      <name val="굴림체"/>
      <family val="3"/>
    </font>
    <font>
      <sz val="10"/>
      <color indexed="8"/>
      <name val="굴림체"/>
      <family val="3"/>
    </font>
    <font>
      <b/>
      <sz val="9"/>
      <name val="굴림"/>
      <family val="3"/>
    </font>
    <font>
      <sz val="9"/>
      <name val="굴림체"/>
      <family val="3"/>
    </font>
    <font>
      <sz val="12"/>
      <name val="굴림체"/>
      <family val="3"/>
    </font>
    <font>
      <b/>
      <sz val="12"/>
      <name val="굴림체"/>
      <family val="3"/>
    </font>
    <font>
      <sz val="10"/>
      <name val="굴림체"/>
      <family val="3"/>
    </font>
    <font>
      <sz val="8"/>
      <name val="돋움체"/>
      <family val="3"/>
    </font>
    <font>
      <sz val="9"/>
      <name val="굴림"/>
      <family val="3"/>
    </font>
    <font>
      <sz val="9"/>
      <color indexed="8"/>
      <name val="굴림체"/>
      <family val="3"/>
    </font>
    <font>
      <sz val="11"/>
      <color indexed="10"/>
      <name val="굴림체"/>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indexed="8"/>
      <name val="맑은 고딕"/>
      <family val="3"/>
    </font>
    <font>
      <b/>
      <sz val="16"/>
      <color indexed="8"/>
      <name val="휴먼매직체"/>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b/>
      <sz val="8"/>
      <name val="돋움체"/>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4"/>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hair"/>
      <right style="hair"/>
      <top style="hair"/>
      <bottom style="hair"/>
    </border>
    <border>
      <left style="thin"/>
      <right style="thin"/>
      <top style="thin"/>
      <bottom style="medium"/>
    </border>
    <border>
      <left>
        <color indexed="63"/>
      </left>
      <right style="thin"/>
      <top style="thin"/>
      <bottom style="medium"/>
    </border>
    <border>
      <left style="thin"/>
      <right style="double"/>
      <top style="thin"/>
      <bottom style="medium"/>
    </border>
    <border>
      <left style="double"/>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double"/>
      <right style="thin"/>
      <top>
        <color indexed="63"/>
      </top>
      <bottom style="double"/>
    </border>
    <border>
      <left style="thin"/>
      <right style="medium"/>
      <top>
        <color indexed="63"/>
      </top>
      <bottom style="double"/>
    </border>
    <border>
      <left>
        <color indexed="63"/>
      </left>
      <right style="medium"/>
      <top style="double"/>
      <bottom>
        <color indexed="63"/>
      </bottom>
    </border>
    <border>
      <left style="medium"/>
      <right style="double"/>
      <top>
        <color indexed="63"/>
      </top>
      <bottom>
        <color indexed="63"/>
      </bottom>
    </border>
    <border>
      <left style="medium"/>
      <right style="double"/>
      <top>
        <color indexed="63"/>
      </top>
      <bottom style="double"/>
    </border>
    <border>
      <left style="thin"/>
      <right style="double"/>
      <top>
        <color indexed="63"/>
      </top>
      <bottom>
        <color indexed="63"/>
      </bottom>
    </border>
    <border>
      <left style="thin"/>
      <right style="double"/>
      <top>
        <color indexed="63"/>
      </top>
      <bottom style="double"/>
    </border>
    <border>
      <left style="medium"/>
      <right style="thin"/>
      <top style="thin"/>
      <bottom style="medium"/>
    </border>
    <border>
      <left style="thin"/>
      <right>
        <color indexed="63"/>
      </right>
      <top style="thin"/>
      <bottom style="medium"/>
    </border>
    <border>
      <left style="medium"/>
      <right style="double"/>
      <top style="thin"/>
      <bottom style="medium"/>
    </border>
    <border>
      <left style="medium"/>
      <right style="medium"/>
      <top>
        <color indexed="63"/>
      </top>
      <bottom>
        <color indexed="63"/>
      </bottom>
    </border>
    <border>
      <left style="medium"/>
      <right style="medium"/>
      <top>
        <color indexed="63"/>
      </top>
      <bottom style="double"/>
    </border>
    <border>
      <left style="medium"/>
      <right style="medium"/>
      <top style="medium"/>
      <bottom style="thin"/>
    </border>
    <border>
      <left style="medium"/>
      <right style="medium"/>
      <top style="thin"/>
      <bottom style="thin"/>
    </border>
    <border>
      <left style="medium"/>
      <right style="double"/>
      <top style="medium"/>
      <bottom style="thin"/>
    </border>
    <border>
      <left style="medium"/>
      <right style="double"/>
      <top style="thin"/>
      <bottom style="thin"/>
    </border>
    <border>
      <left>
        <color indexed="63"/>
      </left>
      <right style="double"/>
      <top>
        <color indexed="63"/>
      </top>
      <bottom style="double"/>
    </border>
    <border>
      <left style="medium"/>
      <right style="medium"/>
      <top style="thin"/>
      <bottom style="double"/>
    </border>
    <border>
      <left style="medium"/>
      <right style="medium"/>
      <top style="double"/>
      <bottom>
        <color indexed="63"/>
      </bottom>
    </border>
    <border>
      <left style="medium"/>
      <right style="medium"/>
      <top>
        <color indexed="63"/>
      </top>
      <bottom style="medium"/>
    </border>
    <border>
      <left style="medium"/>
      <right style="double"/>
      <top style="double"/>
      <bottom>
        <color indexed="63"/>
      </bottom>
    </border>
    <border>
      <left style="medium"/>
      <right style="double"/>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medium"/>
      <top style="double"/>
      <bottom>
        <color indexed="63"/>
      </bottom>
    </border>
    <border>
      <left style="double"/>
      <right style="thin"/>
      <top style="double"/>
      <bottom>
        <color indexed="63"/>
      </bottom>
    </border>
    <border>
      <left style="double"/>
      <right style="thin"/>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 fillId="0" borderId="0">
      <alignment/>
      <protection/>
    </xf>
    <xf numFmtId="0" fontId="3" fillId="0" borderId="0" applyFont="0" applyFill="0" applyBorder="0" applyAlignment="0" applyProtection="0"/>
    <xf numFmtId="0" fontId="3" fillId="0" borderId="0" applyFon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1" fontId="1" fillId="0" borderId="0" applyFont="0" applyFill="0" applyBorder="0" applyAlignment="0" applyProtection="0"/>
    <xf numFmtId="0" fontId="3" fillId="0" borderId="0">
      <alignment/>
      <protection/>
    </xf>
    <xf numFmtId="0" fontId="53" fillId="0" borderId="4" applyNumberFormat="0" applyFill="0" applyAlignment="0" applyProtection="0"/>
    <xf numFmtId="0" fontId="7" fillId="0" borderId="0" applyNumberFormat="0" applyFill="0" applyBorder="0" applyAlignment="0" applyProtection="0"/>
    <xf numFmtId="0" fontId="54" fillId="0" borderId="5" applyNumberFormat="0" applyFill="0" applyAlignment="0" applyProtection="0"/>
    <xf numFmtId="0" fontId="55" fillId="31" borderId="1" applyNumberFormat="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32" borderId="0" applyNumberFormat="0" applyBorder="0" applyAlignment="0" applyProtection="0"/>
    <xf numFmtId="0" fontId="61" fillId="26" borderId="9" applyNumberFormat="0" applyAlignment="0" applyProtection="0"/>
    <xf numFmtId="177" fontId="2" fillId="0" borderId="0" applyFont="0" applyFill="0" applyBorder="0" applyAlignment="0" applyProtection="0"/>
    <xf numFmtId="179"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8" fillId="0" borderId="0" applyNumberForma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0" fontId="4" fillId="0" borderId="0">
      <alignment/>
      <protection/>
    </xf>
    <xf numFmtId="0" fontId="3" fillId="0" borderId="0">
      <alignment/>
      <protection/>
    </xf>
    <xf numFmtId="0" fontId="9" fillId="0" borderId="0">
      <alignment/>
      <protection/>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5" fillId="33" borderId="0" applyNumberFormat="0" applyBorder="0" applyAlignment="0" applyProtection="0"/>
    <xf numFmtId="0" fontId="10" fillId="0" borderId="0">
      <alignment horizontal="left"/>
      <protection/>
    </xf>
    <xf numFmtId="0" fontId="11" fillId="0" borderId="10" applyNumberFormat="0" applyAlignment="0" applyProtection="0"/>
    <xf numFmtId="0" fontId="11" fillId="0" borderId="11">
      <alignment horizontal="left" vertical="center"/>
      <protection/>
    </xf>
    <xf numFmtId="0" fontId="12" fillId="0" borderId="0" applyNumberFormat="0" applyFill="0" applyBorder="0" applyAlignment="0" applyProtection="0"/>
    <xf numFmtId="10" fontId="5" fillId="33" borderId="12" applyNumberFormat="0" applyBorder="0" applyAlignment="0" applyProtection="0"/>
    <xf numFmtId="0" fontId="13" fillId="0" borderId="13">
      <alignment/>
      <protection/>
    </xf>
    <xf numFmtId="181" fontId="1" fillId="0" borderId="0">
      <alignment/>
      <protection/>
    </xf>
    <xf numFmtId="0" fontId="14" fillId="0" borderId="14" applyFont="0">
      <alignment horizontal="center" vertical="center"/>
      <protection/>
    </xf>
    <xf numFmtId="0"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0" fontId="13" fillId="0" borderId="0">
      <alignment/>
      <protection/>
    </xf>
  </cellStyleXfs>
  <cellXfs count="90">
    <xf numFmtId="0" fontId="0" fillId="0" borderId="0" xfId="0" applyAlignment="1">
      <alignment/>
    </xf>
    <xf numFmtId="177" fontId="15" fillId="0" borderId="0" xfId="52" applyFont="1" applyAlignment="1">
      <alignment vertical="center"/>
    </xf>
    <xf numFmtId="177" fontId="15" fillId="0" borderId="0" xfId="52" applyFont="1" applyAlignment="1" applyProtection="1">
      <alignment horizontal="left" vertical="center"/>
      <protection/>
    </xf>
    <xf numFmtId="177" fontId="15" fillId="0" borderId="0" xfId="52" applyFont="1" applyAlignment="1">
      <alignment horizontal="left" vertical="center"/>
    </xf>
    <xf numFmtId="0" fontId="15" fillId="0" borderId="0" xfId="52" applyNumberFormat="1" applyFont="1" applyAlignment="1">
      <alignment vertical="center"/>
    </xf>
    <xf numFmtId="0" fontId="17" fillId="0" borderId="15" xfId="52" applyNumberFormat="1" applyFont="1" applyFill="1" applyBorder="1" applyAlignment="1" applyProtection="1">
      <alignment horizontal="center" vertical="center"/>
      <protection/>
    </xf>
    <xf numFmtId="0" fontId="17" fillId="0" borderId="16" xfId="52" applyNumberFormat="1" applyFont="1" applyFill="1" applyBorder="1" applyAlignment="1" applyProtection="1">
      <alignment horizontal="center" vertical="center"/>
      <protection/>
    </xf>
    <xf numFmtId="0" fontId="17" fillId="0" borderId="17" xfId="52" applyNumberFormat="1" applyFont="1" applyFill="1" applyBorder="1" applyAlignment="1" applyProtection="1">
      <alignment horizontal="center" vertical="center"/>
      <protection/>
    </xf>
    <xf numFmtId="177" fontId="15" fillId="0" borderId="18" xfId="52" applyFont="1" applyBorder="1" applyAlignment="1" applyProtection="1">
      <alignment vertical="center"/>
      <protection/>
    </xf>
    <xf numFmtId="177" fontId="15" fillId="0" borderId="19" xfId="52" applyFont="1" applyBorder="1" applyAlignment="1" applyProtection="1">
      <alignment vertical="center"/>
      <protection/>
    </xf>
    <xf numFmtId="177" fontId="15" fillId="0" borderId="12" xfId="52" applyFont="1" applyBorder="1" applyAlignment="1">
      <alignment vertical="center"/>
    </xf>
    <xf numFmtId="177" fontId="15" fillId="0" borderId="12" xfId="52" applyFont="1" applyBorder="1" applyAlignment="1">
      <alignment horizontal="center" vertical="center"/>
    </xf>
    <xf numFmtId="49" fontId="17" fillId="0" borderId="20" xfId="52" applyNumberFormat="1" applyFont="1" applyFill="1" applyBorder="1" applyAlignment="1" applyProtection="1">
      <alignment horizontal="center" vertical="center"/>
      <protection/>
    </xf>
    <xf numFmtId="177" fontId="15" fillId="34" borderId="18" xfId="52" applyFont="1" applyFill="1" applyBorder="1" applyAlignment="1" applyProtection="1">
      <alignment vertical="center"/>
      <protection/>
    </xf>
    <xf numFmtId="177" fontId="15" fillId="34" borderId="19" xfId="52" applyFont="1" applyFill="1" applyBorder="1" applyAlignment="1" applyProtection="1">
      <alignment vertical="center"/>
      <protection/>
    </xf>
    <xf numFmtId="177" fontId="15" fillId="34" borderId="21" xfId="52" applyFont="1" applyFill="1" applyBorder="1" applyAlignment="1" applyProtection="1">
      <alignment vertical="center"/>
      <protection/>
    </xf>
    <xf numFmtId="177" fontId="15" fillId="34" borderId="22" xfId="52" applyFont="1" applyFill="1" applyBorder="1" applyAlignment="1" applyProtection="1">
      <alignment vertical="center"/>
      <protection/>
    </xf>
    <xf numFmtId="177" fontId="15" fillId="0" borderId="0" xfId="52" applyFont="1" applyAlignment="1" applyProtection="1">
      <alignment horizontal="left" vertical="top"/>
      <protection/>
    </xf>
    <xf numFmtId="177" fontId="15" fillId="0" borderId="0" xfId="52" applyFont="1" applyAlignment="1" applyProtection="1">
      <alignment horizontal="left" vertical="top" wrapText="1"/>
      <protection/>
    </xf>
    <xf numFmtId="177" fontId="15" fillId="0" borderId="0" xfId="52" applyFont="1" applyAlignment="1">
      <alignment vertical="top"/>
    </xf>
    <xf numFmtId="0" fontId="16" fillId="0" borderId="23" xfId="52" applyNumberFormat="1" applyFont="1" applyFill="1" applyBorder="1" applyAlignment="1" applyProtection="1">
      <alignment horizontal="center" vertical="center"/>
      <protection/>
    </xf>
    <xf numFmtId="0" fontId="20" fillId="0" borderId="0" xfId="70" applyFont="1">
      <alignment/>
      <protection/>
    </xf>
    <xf numFmtId="0" fontId="21" fillId="0" borderId="0" xfId="70" applyFont="1">
      <alignment/>
      <protection/>
    </xf>
    <xf numFmtId="41" fontId="20" fillId="0" borderId="0" xfId="53" applyFont="1" applyAlignment="1">
      <alignment/>
    </xf>
    <xf numFmtId="0" fontId="20" fillId="0" borderId="0" xfId="70" applyFont="1" applyAlignment="1">
      <alignment horizontal="center"/>
      <protection/>
    </xf>
    <xf numFmtId="41" fontId="20" fillId="0" borderId="0" xfId="53" applyFont="1" applyAlignment="1">
      <alignment horizontal="center"/>
    </xf>
    <xf numFmtId="197" fontId="20" fillId="35" borderId="0" xfId="53" applyNumberFormat="1" applyFont="1" applyFill="1" applyAlignment="1">
      <alignment/>
    </xf>
    <xf numFmtId="197" fontId="20" fillId="36" borderId="0" xfId="53" applyNumberFormat="1" applyFont="1" applyFill="1" applyAlignment="1">
      <alignment/>
    </xf>
    <xf numFmtId="0" fontId="20" fillId="0" borderId="0" xfId="70" applyFont="1" applyFill="1">
      <alignment/>
      <protection/>
    </xf>
    <xf numFmtId="0" fontId="20" fillId="37" borderId="0" xfId="70" applyFont="1" applyFill="1">
      <alignment/>
      <protection/>
    </xf>
    <xf numFmtId="177" fontId="15" fillId="0" borderId="0" xfId="52" applyFont="1" applyAlignment="1" quotePrefix="1">
      <alignment horizontal="right" vertical="center"/>
    </xf>
    <xf numFmtId="177" fontId="15" fillId="0" borderId="0" xfId="52" applyFont="1" applyFill="1" applyAlignment="1">
      <alignment vertical="center"/>
    </xf>
    <xf numFmtId="0" fontId="15" fillId="0" borderId="0" xfId="52" applyNumberFormat="1" applyFont="1" applyFill="1" applyAlignment="1">
      <alignment vertical="center"/>
    </xf>
    <xf numFmtId="177" fontId="15" fillId="34" borderId="24" xfId="52" applyFont="1" applyFill="1" applyBorder="1" applyAlignment="1" applyProtection="1">
      <alignment vertical="center"/>
      <protection/>
    </xf>
    <xf numFmtId="177" fontId="15" fillId="34" borderId="25" xfId="52" applyFont="1" applyFill="1" applyBorder="1" applyAlignment="1" applyProtection="1">
      <alignment vertical="center"/>
      <protection/>
    </xf>
    <xf numFmtId="177" fontId="15" fillId="0" borderId="0" xfId="52" applyFont="1" applyFill="1" applyAlignment="1">
      <alignment vertical="top"/>
    </xf>
    <xf numFmtId="177" fontId="22" fillId="0" borderId="0" xfId="52" applyFont="1" applyAlignment="1" applyProtection="1">
      <alignment horizontal="left" vertical="top" wrapText="1"/>
      <protection/>
    </xf>
    <xf numFmtId="177" fontId="15" fillId="34" borderId="26" xfId="52" applyFont="1" applyFill="1" applyBorder="1" applyAlignment="1" applyProtection="1">
      <alignment vertical="center"/>
      <protection/>
    </xf>
    <xf numFmtId="177" fontId="15" fillId="34" borderId="27" xfId="52" applyFont="1" applyFill="1" applyBorder="1" applyAlignment="1" applyProtection="1">
      <alignment vertical="center"/>
      <protection/>
    </xf>
    <xf numFmtId="0" fontId="16" fillId="0" borderId="28" xfId="52" applyNumberFormat="1" applyFont="1" applyFill="1" applyBorder="1" applyAlignment="1" applyProtection="1">
      <alignment horizontal="center" vertical="center"/>
      <protection/>
    </xf>
    <xf numFmtId="0" fontId="16" fillId="0" borderId="15" xfId="52" applyNumberFormat="1" applyFont="1" applyFill="1" applyBorder="1" applyAlignment="1" applyProtection="1">
      <alignment horizontal="center" vertical="center"/>
      <protection/>
    </xf>
    <xf numFmtId="0" fontId="16" fillId="0" borderId="29" xfId="52" applyNumberFormat="1" applyFont="1" applyFill="1" applyBorder="1" applyAlignment="1" applyProtection="1">
      <alignment horizontal="center" vertical="center"/>
      <protection/>
    </xf>
    <xf numFmtId="0" fontId="16" fillId="0" borderId="30" xfId="52" applyNumberFormat="1" applyFont="1" applyFill="1" applyBorder="1" applyAlignment="1" applyProtection="1">
      <alignment horizontal="center" vertical="center"/>
      <protection/>
    </xf>
    <xf numFmtId="0" fontId="19" fillId="0" borderId="0" xfId="52" applyNumberFormat="1" applyFont="1" applyAlignment="1" applyProtection="1">
      <alignment horizontal="left" vertical="top" wrapText="1"/>
      <protection/>
    </xf>
    <xf numFmtId="0" fontId="16" fillId="0" borderId="17" xfId="52" applyNumberFormat="1" applyFont="1" applyFill="1" applyBorder="1" applyAlignment="1" applyProtection="1">
      <alignment horizontal="center" vertical="center"/>
      <protection/>
    </xf>
    <xf numFmtId="177" fontId="15" fillId="34" borderId="31" xfId="52" applyFont="1" applyFill="1" applyBorder="1" applyAlignment="1" applyProtection="1">
      <alignment vertical="center"/>
      <protection/>
    </xf>
    <xf numFmtId="177" fontId="15" fillId="34" borderId="32" xfId="52" applyFont="1" applyFill="1" applyBorder="1" applyAlignment="1" applyProtection="1">
      <alignment vertical="center"/>
      <protection/>
    </xf>
    <xf numFmtId="177" fontId="15" fillId="0" borderId="18" xfId="52" applyFont="1" applyFill="1" applyBorder="1" applyAlignment="1" applyProtection="1">
      <alignment vertical="center"/>
      <protection/>
    </xf>
    <xf numFmtId="177" fontId="15" fillId="0" borderId="19" xfId="52" applyFont="1" applyFill="1" applyBorder="1" applyAlignment="1" applyProtection="1">
      <alignment vertical="center"/>
      <protection/>
    </xf>
    <xf numFmtId="177" fontId="15" fillId="0" borderId="31" xfId="52" applyFont="1" applyFill="1" applyBorder="1" applyAlignment="1" applyProtection="1">
      <alignment vertical="center"/>
      <protection/>
    </xf>
    <xf numFmtId="0" fontId="0" fillId="0" borderId="0" xfId="0" applyFill="1" applyAlignment="1">
      <alignment/>
    </xf>
    <xf numFmtId="177" fontId="15" fillId="0" borderId="33" xfId="52" applyFont="1" applyFill="1" applyBorder="1" applyAlignment="1" applyProtection="1">
      <alignment vertical="center"/>
      <protection/>
    </xf>
    <xf numFmtId="177" fontId="15" fillId="0" borderId="34" xfId="52" applyFont="1" applyFill="1" applyBorder="1" applyAlignment="1" applyProtection="1">
      <alignment vertical="center"/>
      <protection/>
    </xf>
    <xf numFmtId="177" fontId="15" fillId="34" borderId="34" xfId="52" applyFont="1" applyFill="1" applyBorder="1" applyAlignment="1" applyProtection="1">
      <alignment vertical="center"/>
      <protection/>
    </xf>
    <xf numFmtId="177" fontId="15" fillId="0" borderId="35" xfId="52" applyFont="1" applyFill="1" applyBorder="1" applyAlignment="1" applyProtection="1">
      <alignment vertical="center"/>
      <protection/>
    </xf>
    <xf numFmtId="177" fontId="15" fillId="0" borderId="36" xfId="52" applyFont="1" applyFill="1" applyBorder="1" applyAlignment="1" applyProtection="1">
      <alignment vertical="center"/>
      <protection/>
    </xf>
    <xf numFmtId="177" fontId="15" fillId="34" borderId="36" xfId="52" applyFont="1" applyFill="1" applyBorder="1" applyAlignment="1" applyProtection="1">
      <alignment vertical="center"/>
      <protection/>
    </xf>
    <xf numFmtId="177" fontId="15" fillId="0" borderId="26" xfId="52" applyFont="1" applyBorder="1" applyAlignment="1" applyProtection="1">
      <alignment vertical="center"/>
      <protection/>
    </xf>
    <xf numFmtId="177" fontId="15" fillId="0" borderId="26" xfId="52" applyFont="1" applyFill="1" applyBorder="1" applyAlignment="1" applyProtection="1">
      <alignment vertical="center"/>
      <protection/>
    </xf>
    <xf numFmtId="177" fontId="15" fillId="38" borderId="18" xfId="52" applyFont="1" applyFill="1" applyBorder="1" applyAlignment="1" applyProtection="1">
      <alignment horizontal="center" vertical="center"/>
      <protection/>
    </xf>
    <xf numFmtId="177" fontId="15" fillId="38" borderId="19" xfId="52" applyFont="1" applyFill="1" applyBorder="1" applyAlignment="1" applyProtection="1">
      <alignment vertical="center"/>
      <protection/>
    </xf>
    <xf numFmtId="177" fontId="15" fillId="38" borderId="26" xfId="52" applyFont="1" applyFill="1" applyBorder="1" applyAlignment="1" applyProtection="1">
      <alignment vertical="center"/>
      <protection/>
    </xf>
    <xf numFmtId="177" fontId="15" fillId="38" borderId="31" xfId="52" applyFont="1" applyFill="1" applyBorder="1" applyAlignment="1" applyProtection="1">
      <alignment vertical="center"/>
      <protection/>
    </xf>
    <xf numFmtId="177" fontId="15" fillId="38" borderId="34" xfId="52" applyFont="1" applyFill="1" applyBorder="1" applyAlignment="1" applyProtection="1">
      <alignment vertical="center"/>
      <protection/>
    </xf>
    <xf numFmtId="177" fontId="15" fillId="38" borderId="36" xfId="52" applyFont="1" applyFill="1" applyBorder="1" applyAlignment="1" applyProtection="1">
      <alignment vertical="center"/>
      <protection/>
    </xf>
    <xf numFmtId="177" fontId="16" fillId="0" borderId="0" xfId="52" applyFont="1" applyAlignment="1">
      <alignment vertical="center"/>
    </xf>
    <xf numFmtId="177" fontId="15" fillId="0" borderId="24" xfId="52" applyFont="1" applyFill="1" applyBorder="1" applyAlignment="1" applyProtection="1">
      <alignment vertical="center"/>
      <protection/>
    </xf>
    <xf numFmtId="177" fontId="26" fillId="34" borderId="18" xfId="52" applyFont="1" applyFill="1" applyBorder="1" applyAlignment="1" applyProtection="1">
      <alignment vertical="center"/>
      <protection/>
    </xf>
    <xf numFmtId="177" fontId="26" fillId="34" borderId="19" xfId="52" applyFont="1" applyFill="1" applyBorder="1" applyAlignment="1" applyProtection="1">
      <alignment vertical="center"/>
      <protection/>
    </xf>
    <xf numFmtId="177" fontId="26" fillId="34" borderId="26" xfId="52" applyFont="1" applyFill="1" applyBorder="1" applyAlignment="1" applyProtection="1">
      <alignment vertical="center"/>
      <protection/>
    </xf>
    <xf numFmtId="177" fontId="15" fillId="34" borderId="0" xfId="52" applyFont="1" applyFill="1" applyBorder="1" applyAlignment="1" applyProtection="1">
      <alignment vertical="center"/>
      <protection/>
    </xf>
    <xf numFmtId="177" fontId="15" fillId="34" borderId="37" xfId="52" applyFont="1" applyFill="1" applyBorder="1" applyAlignment="1" applyProtection="1">
      <alignment vertical="center"/>
      <protection/>
    </xf>
    <xf numFmtId="177" fontId="15" fillId="34" borderId="38" xfId="52" applyFont="1" applyFill="1" applyBorder="1" applyAlignment="1" applyProtection="1">
      <alignment vertical="center"/>
      <protection/>
    </xf>
    <xf numFmtId="0" fontId="16" fillId="0" borderId="39" xfId="52" applyNumberFormat="1" applyFont="1" applyFill="1" applyBorder="1" applyAlignment="1" applyProtection="1">
      <alignment horizontal="center" vertical="center" wrapText="1"/>
      <protection/>
    </xf>
    <xf numFmtId="0" fontId="16" fillId="0" borderId="40" xfId="52" applyNumberFormat="1" applyFont="1" applyFill="1" applyBorder="1" applyAlignment="1" applyProtection="1">
      <alignment horizontal="center" vertical="center" wrapText="1"/>
      <protection/>
    </xf>
    <xf numFmtId="0" fontId="16" fillId="0" borderId="41" xfId="52" applyNumberFormat="1" applyFont="1" applyFill="1" applyBorder="1" applyAlignment="1" applyProtection="1">
      <alignment horizontal="center" vertical="center" wrapText="1"/>
      <protection/>
    </xf>
    <xf numFmtId="0" fontId="16" fillId="0" borderId="42" xfId="52" applyNumberFormat="1" applyFont="1" applyFill="1" applyBorder="1" applyAlignment="1" applyProtection="1">
      <alignment horizontal="center" vertical="center" wrapText="1"/>
      <protection/>
    </xf>
    <xf numFmtId="0" fontId="16" fillId="0" borderId="43" xfId="52" applyNumberFormat="1" applyFont="1" applyFill="1" applyBorder="1" applyAlignment="1" applyProtection="1">
      <alignment horizontal="center" vertical="center"/>
      <protection/>
    </xf>
    <xf numFmtId="0" fontId="16" fillId="0" borderId="44" xfId="52" applyNumberFormat="1" applyFont="1" applyFill="1" applyBorder="1" applyAlignment="1" applyProtection="1">
      <alignment horizontal="center" vertical="center"/>
      <protection/>
    </xf>
    <xf numFmtId="0" fontId="16" fillId="0" borderId="45" xfId="52" applyNumberFormat="1" applyFont="1" applyFill="1" applyBorder="1" applyAlignment="1" applyProtection="1">
      <alignment horizontal="center" vertical="center"/>
      <protection/>
    </xf>
    <xf numFmtId="0" fontId="17" fillId="0" borderId="46" xfId="52" applyNumberFormat="1" applyFont="1" applyFill="1" applyBorder="1" applyAlignment="1" applyProtection="1">
      <alignment horizontal="center" vertical="center" wrapText="1"/>
      <protection/>
    </xf>
    <xf numFmtId="0" fontId="17" fillId="0" borderId="20" xfId="52" applyNumberFormat="1" applyFont="1" applyFill="1" applyBorder="1" applyAlignment="1" applyProtection="1">
      <alignment horizontal="center" vertical="center" wrapText="1"/>
      <protection/>
    </xf>
    <xf numFmtId="0" fontId="16" fillId="0" borderId="47" xfId="52" applyNumberFormat="1" applyFont="1" applyFill="1" applyBorder="1" applyAlignment="1" applyProtection="1">
      <alignment horizontal="center" vertical="center"/>
      <protection/>
    </xf>
    <xf numFmtId="0" fontId="16" fillId="0" borderId="48" xfId="52" applyNumberFormat="1" applyFont="1" applyFill="1" applyBorder="1" applyAlignment="1" applyProtection="1">
      <alignment horizontal="center" vertical="center"/>
      <protection/>
    </xf>
    <xf numFmtId="0" fontId="19" fillId="0" borderId="0" xfId="52" applyNumberFormat="1" applyFont="1" applyAlignment="1" applyProtection="1">
      <alignment horizontal="left" vertical="top" wrapText="1"/>
      <protection/>
    </xf>
    <xf numFmtId="0" fontId="25" fillId="0" borderId="46" xfId="52" applyNumberFormat="1" applyFont="1" applyFill="1" applyBorder="1" applyAlignment="1" applyProtection="1">
      <alignment horizontal="center" vertical="center" wrapText="1"/>
      <protection/>
    </xf>
    <xf numFmtId="0" fontId="25" fillId="0" borderId="20" xfId="52" applyNumberFormat="1" applyFont="1" applyFill="1" applyBorder="1" applyAlignment="1" applyProtection="1">
      <alignment horizontal="center" vertical="center" wrapText="1"/>
      <protection/>
    </xf>
    <xf numFmtId="0" fontId="16" fillId="0" borderId="49" xfId="52" applyNumberFormat="1" applyFont="1" applyFill="1" applyBorder="1" applyAlignment="1" applyProtection="1">
      <alignment horizontal="center" vertical="center"/>
      <protection/>
    </xf>
    <xf numFmtId="0" fontId="16" fillId="0" borderId="50" xfId="52" applyNumberFormat="1" applyFont="1" applyFill="1" applyBorder="1" applyAlignment="1" applyProtection="1">
      <alignment horizontal="center" vertical="center"/>
      <protection/>
    </xf>
    <xf numFmtId="0" fontId="16" fillId="0" borderId="51" xfId="52" applyNumberFormat="1" applyFont="1" applyFill="1" applyBorder="1" applyAlignment="1" applyProtection="1">
      <alignment horizontal="center" vertical="center"/>
      <protection/>
    </xf>
  </cellXfs>
  <cellStyles count="80">
    <cellStyle name="Normal" xfId="0"/>
    <cellStyle name="??&amp;O?&amp;H?_x0008__x000F__x0007_?_x0007__x0001__x0001_" xfId="15"/>
    <cellStyle name="?W?_laroux" xfId="16"/>
    <cellStyle name="’E‰Y [0.00]_laroux" xfId="17"/>
    <cellStyle name="’E‰Y_laroux" xfId="18"/>
    <cellStyle name="20% - 강조색1" xfId="19"/>
    <cellStyle name="20% - 강조색2" xfId="20"/>
    <cellStyle name="20% - 강조색3" xfId="21"/>
    <cellStyle name="20% - 강조색4" xfId="22"/>
    <cellStyle name="20% - 강조색5" xfId="23"/>
    <cellStyle name="20% - 강조색6" xfId="24"/>
    <cellStyle name="40% - 강조색1" xfId="25"/>
    <cellStyle name="40% - 강조색2" xfId="26"/>
    <cellStyle name="40% - 강조색3" xfId="27"/>
    <cellStyle name="40% - 강조색4" xfId="28"/>
    <cellStyle name="40% - 강조색5" xfId="29"/>
    <cellStyle name="40% - 강조색6" xfId="30"/>
    <cellStyle name="60% - 강조색1" xfId="31"/>
    <cellStyle name="60% - 강조색2" xfId="32"/>
    <cellStyle name="60% - 강조색3" xfId="33"/>
    <cellStyle name="60% - 강조색4" xfId="34"/>
    <cellStyle name="60% - 강조색5" xfId="35"/>
    <cellStyle name="60% - 강조색6" xfId="36"/>
    <cellStyle name="강조색1" xfId="37"/>
    <cellStyle name="강조색2" xfId="38"/>
    <cellStyle name="강조색3" xfId="39"/>
    <cellStyle name="강조색4" xfId="40"/>
    <cellStyle name="강조색5" xfId="41"/>
    <cellStyle name="강조색6" xfId="42"/>
    <cellStyle name="경고문" xfId="43"/>
    <cellStyle name="계산" xfId="44"/>
    <cellStyle name="나쁨" xfId="45"/>
    <cellStyle name="메모" xfId="46"/>
    <cellStyle name="Percent" xfId="47"/>
    <cellStyle name="보통" xfId="48"/>
    <cellStyle name="설명 텍스트" xfId="49"/>
    <cellStyle name="셀 확인" xfId="50"/>
    <cellStyle name="Comma" xfId="51"/>
    <cellStyle name="Comma [0]" xfId="52"/>
    <cellStyle name="쉼표 [0]_연금액+비교(20년간40%)" xfId="53"/>
    <cellStyle name="스타일 1" xfId="54"/>
    <cellStyle name="연결된 셀" xfId="55"/>
    <cellStyle name="Followed Hyperlink" xfId="56"/>
    <cellStyle name="요약" xfId="57"/>
    <cellStyle name="입력" xfId="58"/>
    <cellStyle name="제목" xfId="59"/>
    <cellStyle name="제목 1" xfId="60"/>
    <cellStyle name="제목 2" xfId="61"/>
    <cellStyle name="제목 3" xfId="62"/>
    <cellStyle name="제목 4" xfId="63"/>
    <cellStyle name="좋음" xfId="64"/>
    <cellStyle name="출력" xfId="65"/>
    <cellStyle name="콤마 [0]_95" xfId="66"/>
    <cellStyle name="콤마_95" xfId="67"/>
    <cellStyle name="Currency" xfId="68"/>
    <cellStyle name="Currency [0]" xfId="69"/>
    <cellStyle name="표준_연금액+비교(20년간40%)" xfId="70"/>
    <cellStyle name="Hyperlink" xfId="71"/>
    <cellStyle name="AeE­ [0]_PERSONAL" xfId="72"/>
    <cellStyle name="AeE­_PERSONAL" xfId="73"/>
    <cellStyle name="ALIGNMENT" xfId="74"/>
    <cellStyle name="C￥AØ_PERSONAL" xfId="75"/>
    <cellStyle name="category" xfId="76"/>
    <cellStyle name="Comma [0]_0818" xfId="77"/>
    <cellStyle name="Comma_0818" xfId="78"/>
    <cellStyle name="Currency [0]_0603P" xfId="79"/>
    <cellStyle name="Currency_0603P" xfId="80"/>
    <cellStyle name="Grey" xfId="81"/>
    <cellStyle name="HEADER" xfId="82"/>
    <cellStyle name="Header1" xfId="83"/>
    <cellStyle name="Header2" xfId="84"/>
    <cellStyle name="Hyperlink_NEGS" xfId="85"/>
    <cellStyle name="Input [yellow]" xfId="86"/>
    <cellStyle name="Model" xfId="87"/>
    <cellStyle name="Normal - Style1" xfId="88"/>
    <cellStyle name="Normal_0603P" xfId="89"/>
    <cellStyle name="Œ…?æ맖?e [0.00]_laroux" xfId="90"/>
    <cellStyle name="Œ…?æ맖?e_laroux" xfId="91"/>
    <cellStyle name="Percent [2]" xfId="92"/>
    <cellStyle name="subhead"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1</xdr:row>
      <xdr:rowOff>0</xdr:rowOff>
    </xdr:from>
    <xdr:to>
      <xdr:col>8</xdr:col>
      <xdr:colOff>228600</xdr:colOff>
      <xdr:row>2</xdr:row>
      <xdr:rowOff>0</xdr:rowOff>
    </xdr:to>
    <xdr:sp>
      <xdr:nvSpPr>
        <xdr:cNvPr id="1" name="Text 2"/>
        <xdr:cNvSpPr txBox="1">
          <a:spLocks noChangeArrowheads="1"/>
        </xdr:cNvSpPr>
      </xdr:nvSpPr>
      <xdr:spPr>
        <a:xfrm>
          <a:off x="2190750" y="76200"/>
          <a:ext cx="4867275"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노령연금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2"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장애연금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3"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유족연금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4"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노령연금 예상연금월액표</a:t>
          </a:r>
        </a:p>
      </xdr:txBody>
    </xdr:sp>
    <xdr:clientData/>
  </xdr:twoCellAnchor>
  <xdr:twoCellAnchor>
    <xdr:from>
      <xdr:col>12</xdr:col>
      <xdr:colOff>1009650</xdr:colOff>
      <xdr:row>1</xdr:row>
      <xdr:rowOff>0</xdr:rowOff>
    </xdr:from>
    <xdr:to>
      <xdr:col>16</xdr:col>
      <xdr:colOff>685800</xdr:colOff>
      <xdr:row>2</xdr:row>
      <xdr:rowOff>0</xdr:rowOff>
    </xdr:to>
    <xdr:sp>
      <xdr:nvSpPr>
        <xdr:cNvPr id="5" name="Text 2"/>
        <xdr:cNvSpPr txBox="1">
          <a:spLocks noChangeArrowheads="1"/>
        </xdr:cNvSpPr>
      </xdr:nvSpPr>
      <xdr:spPr>
        <a:xfrm>
          <a:off x="878205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장애연금 예상연금월액표</a:t>
          </a:r>
        </a:p>
      </xdr:txBody>
    </xdr:sp>
    <xdr:clientData/>
  </xdr:twoCellAnchor>
  <xdr:twoCellAnchor>
    <xdr:from>
      <xdr:col>21</xdr:col>
      <xdr:colOff>95250</xdr:colOff>
      <xdr:row>1</xdr:row>
      <xdr:rowOff>0</xdr:rowOff>
    </xdr:from>
    <xdr:to>
      <xdr:col>24</xdr:col>
      <xdr:colOff>876300</xdr:colOff>
      <xdr:row>2</xdr:row>
      <xdr:rowOff>0</xdr:rowOff>
    </xdr:to>
    <xdr:sp>
      <xdr:nvSpPr>
        <xdr:cNvPr id="6" name="Text 2"/>
        <xdr:cNvSpPr txBox="1">
          <a:spLocks noChangeArrowheads="1"/>
        </xdr:cNvSpPr>
      </xdr:nvSpPr>
      <xdr:spPr>
        <a:xfrm>
          <a:off x="878205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유족연금 예상연금월액표</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0</xdr:row>
      <xdr:rowOff>66675</xdr:rowOff>
    </xdr:from>
    <xdr:to>
      <xdr:col>5</xdr:col>
      <xdr:colOff>838200</xdr:colOff>
      <xdr:row>2</xdr:row>
      <xdr:rowOff>9525</xdr:rowOff>
    </xdr:to>
    <xdr:sp>
      <xdr:nvSpPr>
        <xdr:cNvPr id="1" name="Text Box 1"/>
        <xdr:cNvSpPr txBox="1">
          <a:spLocks noChangeArrowheads="1"/>
        </xdr:cNvSpPr>
      </xdr:nvSpPr>
      <xdr:spPr>
        <a:xfrm>
          <a:off x="1571625" y="66675"/>
          <a:ext cx="4524375" cy="28575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장애연금 예상연금월액표</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0</xdr:row>
      <xdr:rowOff>57150</xdr:rowOff>
    </xdr:from>
    <xdr:to>
      <xdr:col>5</xdr:col>
      <xdr:colOff>333375</xdr:colOff>
      <xdr:row>1</xdr:row>
      <xdr:rowOff>152400</xdr:rowOff>
    </xdr:to>
    <xdr:sp>
      <xdr:nvSpPr>
        <xdr:cNvPr id="1" name="Text 2"/>
        <xdr:cNvSpPr txBox="1">
          <a:spLocks noChangeArrowheads="1"/>
        </xdr:cNvSpPr>
      </xdr:nvSpPr>
      <xdr:spPr>
        <a:xfrm>
          <a:off x="1304925" y="57150"/>
          <a:ext cx="502920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유족연금 예상연금월액표</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82"/>
  <sheetViews>
    <sheetView zoomScalePageLayoutView="0" workbookViewId="0" topLeftCell="A1">
      <selection activeCell="D18" sqref="D18"/>
    </sheetView>
  </sheetViews>
  <sheetFormatPr defaultColWidth="10.00390625" defaultRowHeight="14.25"/>
  <cols>
    <col min="1" max="1" width="3.875" style="21" customWidth="1"/>
    <col min="2" max="2" width="10.00390625" style="21" customWidth="1"/>
    <col min="3" max="3" width="13.75390625" style="21" customWidth="1"/>
    <col min="4" max="4" width="13.875" style="21" bestFit="1" customWidth="1"/>
    <col min="5" max="5" width="12.25390625" style="23" customWidth="1"/>
    <col min="6" max="6" width="10.50390625" style="21" bestFit="1" customWidth="1"/>
    <col min="7" max="7" width="10.50390625" style="21" customWidth="1"/>
    <col min="8" max="8" width="11.50390625" style="21" bestFit="1" customWidth="1"/>
    <col min="9" max="10" width="12.75390625" style="21" bestFit="1" customWidth="1"/>
    <col min="11" max="11" width="9.50390625" style="21" bestFit="1" customWidth="1"/>
    <col min="12" max="12" width="11.875" style="21" customWidth="1"/>
    <col min="13" max="13" width="15.875" style="21" bestFit="1" customWidth="1"/>
    <col min="14" max="16384" width="10.00390625" style="21" customWidth="1"/>
  </cols>
  <sheetData>
    <row r="1" ht="14.25">
      <c r="B1" s="22" t="s">
        <v>29</v>
      </c>
    </row>
    <row r="2" ht="14.25">
      <c r="B2" s="22" t="s">
        <v>30</v>
      </c>
    </row>
    <row r="3" ht="14.25">
      <c r="B3" s="22" t="s">
        <v>31</v>
      </c>
    </row>
    <row r="4" ht="14.25">
      <c r="B4" s="21" t="s">
        <v>32</v>
      </c>
    </row>
    <row r="5" spans="3:4" ht="14.25">
      <c r="C5" s="23"/>
      <c r="D5" s="23"/>
    </row>
    <row r="6" spans="1:4" ht="14.25">
      <c r="A6" s="21" t="s">
        <v>33</v>
      </c>
      <c r="B6" s="21" t="s">
        <v>34</v>
      </c>
      <c r="C6" s="23">
        <v>1824109</v>
      </c>
      <c r="D6" s="23" t="s">
        <v>35</v>
      </c>
    </row>
    <row r="7" spans="3:5" ht="14.25">
      <c r="C7" s="24"/>
      <c r="D7" s="24"/>
      <c r="E7" s="25"/>
    </row>
    <row r="8" spans="3:10" ht="14.25">
      <c r="C8" s="24" t="s">
        <v>36</v>
      </c>
      <c r="D8" s="25" t="s">
        <v>48</v>
      </c>
      <c r="E8" s="24" t="s">
        <v>49</v>
      </c>
      <c r="F8" s="21" t="s">
        <v>50</v>
      </c>
      <c r="G8" s="21" t="s">
        <v>53</v>
      </c>
      <c r="H8" s="24" t="s">
        <v>51</v>
      </c>
      <c r="I8" s="24" t="s">
        <v>54</v>
      </c>
      <c r="J8" s="24" t="s">
        <v>52</v>
      </c>
    </row>
    <row r="9" spans="3:10" ht="14.25">
      <c r="C9" s="26">
        <f>'예상연금2011년부터 가입'!B7</f>
        <v>230000</v>
      </c>
      <c r="D9" s="27">
        <f aca="true" t="shared" si="0" ref="D9:J18">(($D$59*($C$6+$C9)*E$59/E$81)+($D$60*($C$6+$C9)*E$60/E$81)+($D$61*($C$6+$C9)*E$61/E$81)+($D$62*($C$6+$C9)*E$62/E$81)+($D$63*($C$6+$C9)*E$63/E$81)+($D$64*($C$6+$C9)*E$64/E$81)+($D$65*($C$6+$C9)*E$65/E$81)+($D$66*($C$6+$C9)*E$66/E$81)+($D$67*($C$6+$C9)*E$67/E$81)+($D$68*($C$6+$C9)*E$68/E$81)+($D$69*($C$6+$C9)*E$69/E$81)+($D$70*($C$6+$C9)*E$70/E$81)+($D$71*($C$6+$C9)*E$71/E$81)+($D$72*($C$6+$C9)*E$72/E$81)+($D$73*($C$6+$C9)*E$73/E$81)+($D$74*($C$6+$C9)*E$74/E$81)+($D$75*($C$6+$C9)*E$75/E$81)+($D$76*($C$6+$C9)*E$76/E$81)+($D$77*($C$6+$C9)*E$77/E$81)+($D$78*($C$6+$C9)*E$78/E$81)+($D$79*($C$6+$C9)*E$79/E$81)+($D$80*($C$6+$C9)*E$80/E$81))*E$81*12/240/12</f>
        <v>118753.1765625</v>
      </c>
      <c r="E9" s="27">
        <f t="shared" si="0"/>
        <v>173315.446875</v>
      </c>
      <c r="F9" s="27">
        <f t="shared" si="0"/>
        <v>225053.3173125</v>
      </c>
      <c r="G9" s="27">
        <f t="shared" si="0"/>
        <v>276406.04231249995</v>
      </c>
      <c r="H9" s="27">
        <f t="shared" si="0"/>
        <v>327758.7673125</v>
      </c>
      <c r="I9" s="27">
        <f t="shared" si="0"/>
        <v>379111.49231249996</v>
      </c>
      <c r="J9" s="27">
        <f t="shared" si="0"/>
        <v>430464.21731250006</v>
      </c>
    </row>
    <row r="10" spans="3:10" ht="14.25">
      <c r="C10" s="26">
        <f>'예상연금2011년부터 가입'!B8</f>
        <v>240000</v>
      </c>
      <c r="D10" s="27">
        <f t="shared" si="0"/>
        <v>119331.3015625</v>
      </c>
      <c r="E10" s="27">
        <f t="shared" si="0"/>
        <v>174159.196875</v>
      </c>
      <c r="F10" s="27">
        <f t="shared" si="0"/>
        <v>226148.9423125</v>
      </c>
      <c r="G10" s="27">
        <f t="shared" si="0"/>
        <v>277751.66731249995</v>
      </c>
      <c r="H10" s="27">
        <f t="shared" si="0"/>
        <v>329354.3923125</v>
      </c>
      <c r="I10" s="27">
        <f t="shared" si="0"/>
        <v>380957.1173125</v>
      </c>
      <c r="J10" s="27">
        <f t="shared" si="0"/>
        <v>432559.84231250006</v>
      </c>
    </row>
    <row r="11" spans="3:10" ht="14.25">
      <c r="C11" s="26">
        <f>'예상연금2011년부터 가입'!B9</f>
        <v>250000</v>
      </c>
      <c r="D11" s="27">
        <f t="shared" si="0"/>
        <v>119909.4265625</v>
      </c>
      <c r="E11" s="27">
        <f t="shared" si="0"/>
        <v>175002.94687499994</v>
      </c>
      <c r="F11" s="27">
        <f t="shared" si="0"/>
        <v>227244.5673125</v>
      </c>
      <c r="G11" s="27">
        <f t="shared" si="0"/>
        <v>279097.29231249995</v>
      </c>
      <c r="H11" s="27">
        <f t="shared" si="0"/>
        <v>330950.0173125</v>
      </c>
      <c r="I11" s="27">
        <f t="shared" si="0"/>
        <v>382802.7423125</v>
      </c>
      <c r="J11" s="27">
        <f t="shared" si="0"/>
        <v>434655.46731250006</v>
      </c>
    </row>
    <row r="12" spans="3:10" ht="14.25">
      <c r="C12" s="26">
        <f>'예상연금2011년부터 가입'!B10</f>
        <v>260000</v>
      </c>
      <c r="D12" s="27">
        <f t="shared" si="0"/>
        <v>120487.5515625</v>
      </c>
      <c r="E12" s="27">
        <f t="shared" si="0"/>
        <v>175846.69687499994</v>
      </c>
      <c r="F12" s="27">
        <f t="shared" si="0"/>
        <v>228340.1923125</v>
      </c>
      <c r="G12" s="27">
        <f t="shared" si="0"/>
        <v>280442.91731249995</v>
      </c>
      <c r="H12" s="27">
        <f t="shared" si="0"/>
        <v>332545.6423125</v>
      </c>
      <c r="I12" s="27">
        <f t="shared" si="0"/>
        <v>384648.3673125</v>
      </c>
      <c r="J12" s="27">
        <f t="shared" si="0"/>
        <v>436751.09231250006</v>
      </c>
    </row>
    <row r="13" spans="3:10" ht="14.25">
      <c r="C13" s="26">
        <f>'예상연금2011년부터 가입'!B11</f>
        <v>270000</v>
      </c>
      <c r="D13" s="27">
        <f t="shared" si="0"/>
        <v>121065.6765625</v>
      </c>
      <c r="E13" s="27">
        <f t="shared" si="0"/>
        <v>176690.44687499994</v>
      </c>
      <c r="F13" s="27">
        <f t="shared" si="0"/>
        <v>229435.8173125</v>
      </c>
      <c r="G13" s="27">
        <f t="shared" si="0"/>
        <v>281788.54231249995</v>
      </c>
      <c r="H13" s="27">
        <f t="shared" si="0"/>
        <v>334141.2673125</v>
      </c>
      <c r="I13" s="27">
        <f t="shared" si="0"/>
        <v>386493.99231249996</v>
      </c>
      <c r="J13" s="27">
        <f t="shared" si="0"/>
        <v>438846.71731250006</v>
      </c>
    </row>
    <row r="14" spans="3:10" ht="14.25">
      <c r="C14" s="26">
        <f>'예상연금2011년부터 가입'!B12</f>
        <v>290000</v>
      </c>
      <c r="D14" s="27">
        <f t="shared" si="0"/>
        <v>122221.9265625</v>
      </c>
      <c r="E14" s="27">
        <f t="shared" si="0"/>
        <v>178377.94687499994</v>
      </c>
      <c r="F14" s="27">
        <f t="shared" si="0"/>
        <v>231627.0673125</v>
      </c>
      <c r="G14" s="27">
        <f t="shared" si="0"/>
        <v>284479.79231249995</v>
      </c>
      <c r="H14" s="27">
        <f t="shared" si="0"/>
        <v>337332.5173125</v>
      </c>
      <c r="I14" s="27">
        <f t="shared" si="0"/>
        <v>390185.24231249996</v>
      </c>
      <c r="J14" s="27">
        <f t="shared" si="0"/>
        <v>443037.96731250006</v>
      </c>
    </row>
    <row r="15" spans="3:10" ht="14.25">
      <c r="C15" s="26">
        <f>'예상연금2011년부터 가입'!B13</f>
        <v>310000</v>
      </c>
      <c r="D15" s="27">
        <f t="shared" si="0"/>
        <v>123378.1765625</v>
      </c>
      <c r="E15" s="27">
        <f t="shared" si="0"/>
        <v>180065.44687499994</v>
      </c>
      <c r="F15" s="27">
        <f t="shared" si="0"/>
        <v>233818.3173125</v>
      </c>
      <c r="G15" s="27">
        <f t="shared" si="0"/>
        <v>287171.04231249995</v>
      </c>
      <c r="H15" s="27">
        <f t="shared" si="0"/>
        <v>340523.7673125</v>
      </c>
      <c r="I15" s="27">
        <f t="shared" si="0"/>
        <v>393876.4923125</v>
      </c>
      <c r="J15" s="27">
        <f t="shared" si="0"/>
        <v>447229.21731250006</v>
      </c>
    </row>
    <row r="16" spans="3:10" ht="14.25">
      <c r="C16" s="26">
        <f>'예상연금2011년부터 가입'!B14</f>
        <v>340000</v>
      </c>
      <c r="D16" s="27">
        <f t="shared" si="0"/>
        <v>125112.5515625</v>
      </c>
      <c r="E16" s="27">
        <f t="shared" si="0"/>
        <v>182596.69687499994</v>
      </c>
      <c r="F16" s="27">
        <f t="shared" si="0"/>
        <v>237105.1923125</v>
      </c>
      <c r="G16" s="27">
        <f t="shared" si="0"/>
        <v>291207.91731249995</v>
      </c>
      <c r="H16" s="27">
        <f t="shared" si="0"/>
        <v>345310.6423125</v>
      </c>
      <c r="I16" s="27">
        <f t="shared" si="0"/>
        <v>399413.36731249996</v>
      </c>
      <c r="J16" s="27">
        <f t="shared" si="0"/>
        <v>453516.09231250006</v>
      </c>
    </row>
    <row r="17" spans="3:10" ht="14.25">
      <c r="C17" s="26">
        <f>'예상연금2011년부터 가입'!B15</f>
        <v>370000</v>
      </c>
      <c r="D17" s="27">
        <f t="shared" si="0"/>
        <v>126846.9265625</v>
      </c>
      <c r="E17" s="27">
        <f t="shared" si="0"/>
        <v>185127.94687499994</v>
      </c>
      <c r="F17" s="27">
        <f t="shared" si="0"/>
        <v>240392.0673125</v>
      </c>
      <c r="G17" s="27">
        <f t="shared" si="0"/>
        <v>295244.79231249995</v>
      </c>
      <c r="H17" s="27">
        <f t="shared" si="0"/>
        <v>350097.5173124999</v>
      </c>
      <c r="I17" s="27">
        <f t="shared" si="0"/>
        <v>404950.24231249996</v>
      </c>
      <c r="J17" s="27">
        <f t="shared" si="0"/>
        <v>459802.96731250006</v>
      </c>
    </row>
    <row r="18" spans="3:10" ht="14.25">
      <c r="C18" s="26">
        <f>'예상연금2011년부터 가입'!B16</f>
        <v>400000</v>
      </c>
      <c r="D18" s="27">
        <f t="shared" si="0"/>
        <v>128581.3015625</v>
      </c>
      <c r="E18" s="27">
        <f t="shared" si="0"/>
        <v>187659.19687499994</v>
      </c>
      <c r="F18" s="27">
        <f t="shared" si="0"/>
        <v>243678.9423125</v>
      </c>
      <c r="G18" s="27">
        <f t="shared" si="0"/>
        <v>299281.66731249995</v>
      </c>
      <c r="H18" s="27">
        <f t="shared" si="0"/>
        <v>354884.3923124999</v>
      </c>
      <c r="I18" s="27">
        <f t="shared" si="0"/>
        <v>410487.1173125</v>
      </c>
      <c r="J18" s="27">
        <f t="shared" si="0"/>
        <v>466089.84231250006</v>
      </c>
    </row>
    <row r="19" spans="3:10" ht="14.25">
      <c r="C19" s="26">
        <f>'예상연금2011년부터 가입'!B17</f>
        <v>440000</v>
      </c>
      <c r="D19" s="27">
        <f aca="true" t="shared" si="1" ref="D19:J28">(($D$59*($C$6+$C19)*E$59/E$81)+($D$60*($C$6+$C19)*E$60/E$81)+($D$61*($C$6+$C19)*E$61/E$81)+($D$62*($C$6+$C19)*E$62/E$81)+($D$63*($C$6+$C19)*E$63/E$81)+($D$64*($C$6+$C19)*E$64/E$81)+($D$65*($C$6+$C19)*E$65/E$81)+($D$66*($C$6+$C19)*E$66/E$81)+($D$67*($C$6+$C19)*E$67/E$81)+($D$68*($C$6+$C19)*E$68/E$81)+($D$69*($C$6+$C19)*E$69/E$81)+($D$70*($C$6+$C19)*E$70/E$81)+($D$71*($C$6+$C19)*E$71/E$81)+($D$72*($C$6+$C19)*E$72/E$81)+($D$73*($C$6+$C19)*E$73/E$81)+($D$74*($C$6+$C19)*E$74/E$81)+($D$75*($C$6+$C19)*E$75/E$81)+($D$76*($C$6+$C19)*E$76/E$81)+($D$77*($C$6+$C19)*E$77/E$81)+($D$78*($C$6+$C19)*E$78/E$81)+($D$79*($C$6+$C19)*E$79/E$81)+($D$80*($C$6+$C19)*E$80/E$81))*E$81*12/240/12</f>
        <v>130893.8015625</v>
      </c>
      <c r="E19" s="27">
        <f t="shared" si="1"/>
        <v>191034.19687499994</v>
      </c>
      <c r="F19" s="27">
        <f t="shared" si="1"/>
        <v>248061.4423125</v>
      </c>
      <c r="G19" s="27">
        <f t="shared" si="1"/>
        <v>304664.16731249995</v>
      </c>
      <c r="H19" s="27">
        <f t="shared" si="1"/>
        <v>361266.8923124999</v>
      </c>
      <c r="I19" s="27">
        <f t="shared" si="1"/>
        <v>417869.61731249996</v>
      </c>
      <c r="J19" s="27">
        <f t="shared" si="1"/>
        <v>474472.34231250006</v>
      </c>
    </row>
    <row r="20" spans="3:10" ht="14.25">
      <c r="C20" s="26">
        <f>'예상연금2011년부터 가입'!B18</f>
        <v>480000</v>
      </c>
      <c r="D20" s="27">
        <f t="shared" si="1"/>
        <v>133206.30156249998</v>
      </c>
      <c r="E20" s="27">
        <f t="shared" si="1"/>
        <v>194409.196875</v>
      </c>
      <c r="F20" s="27">
        <f t="shared" si="1"/>
        <v>252443.9423125</v>
      </c>
      <c r="G20" s="27">
        <f t="shared" si="1"/>
        <v>310046.66731249995</v>
      </c>
      <c r="H20" s="27">
        <f t="shared" si="1"/>
        <v>367649.3923125</v>
      </c>
      <c r="I20" s="27">
        <f t="shared" si="1"/>
        <v>425252.1173125</v>
      </c>
      <c r="J20" s="27">
        <f t="shared" si="1"/>
        <v>482854.84231250006</v>
      </c>
    </row>
    <row r="21" spans="3:10" ht="14.25">
      <c r="C21" s="26">
        <f>'예상연금2011년부터 가입'!B19</f>
        <v>520000</v>
      </c>
      <c r="D21" s="27">
        <f t="shared" si="1"/>
        <v>135518.80156249998</v>
      </c>
      <c r="E21" s="27">
        <f t="shared" si="1"/>
        <v>197784.196875</v>
      </c>
      <c r="F21" s="27">
        <f t="shared" si="1"/>
        <v>256826.4423125</v>
      </c>
      <c r="G21" s="27">
        <f t="shared" si="1"/>
        <v>315429.16731249995</v>
      </c>
      <c r="H21" s="27">
        <f t="shared" si="1"/>
        <v>374031.8923125001</v>
      </c>
      <c r="I21" s="27">
        <f t="shared" si="1"/>
        <v>432634.6173125</v>
      </c>
      <c r="J21" s="27">
        <f t="shared" si="1"/>
        <v>491237.34231250006</v>
      </c>
    </row>
    <row r="22" spans="3:10" ht="14.25">
      <c r="C22" s="26">
        <f>'예상연금2011년부터 가입'!B20</f>
        <v>570000</v>
      </c>
      <c r="D22" s="27">
        <f t="shared" si="1"/>
        <v>138409.42656249998</v>
      </c>
      <c r="E22" s="27">
        <f t="shared" si="1"/>
        <v>202002.946875</v>
      </c>
      <c r="F22" s="27">
        <f t="shared" si="1"/>
        <v>262304.56731250003</v>
      </c>
      <c r="G22" s="27">
        <f t="shared" si="1"/>
        <v>322157.29231249995</v>
      </c>
      <c r="H22" s="27">
        <f t="shared" si="1"/>
        <v>382010.0173125001</v>
      </c>
      <c r="I22" s="27">
        <f t="shared" si="1"/>
        <v>441862.74231249996</v>
      </c>
      <c r="J22" s="27">
        <f t="shared" si="1"/>
        <v>501715.46731250006</v>
      </c>
    </row>
    <row r="23" spans="3:10" ht="14.25">
      <c r="C23" s="26">
        <f>'예상연금2011년부터 가입'!B21</f>
        <v>620000</v>
      </c>
      <c r="D23" s="27">
        <f t="shared" si="1"/>
        <v>141300.05156249998</v>
      </c>
      <c r="E23" s="27">
        <f t="shared" si="1"/>
        <v>206221.696875</v>
      </c>
      <c r="F23" s="27">
        <f t="shared" si="1"/>
        <v>267782.69231250003</v>
      </c>
      <c r="G23" s="27">
        <f t="shared" si="1"/>
        <v>328885.41731249995</v>
      </c>
      <c r="H23" s="27">
        <f t="shared" si="1"/>
        <v>389988.1423125001</v>
      </c>
      <c r="I23" s="27">
        <f t="shared" si="1"/>
        <v>451090.8673125</v>
      </c>
      <c r="J23" s="27">
        <f t="shared" si="1"/>
        <v>512193.59231249994</v>
      </c>
    </row>
    <row r="24" spans="3:10" ht="14.25">
      <c r="C24" s="26">
        <f>'예상연금2011년부터 가입'!B22</f>
        <v>670000</v>
      </c>
      <c r="D24" s="27">
        <f t="shared" si="1"/>
        <v>144190.67656249998</v>
      </c>
      <c r="E24" s="27">
        <f t="shared" si="1"/>
        <v>210440.446875</v>
      </c>
      <c r="F24" s="27">
        <f t="shared" si="1"/>
        <v>273260.81731250003</v>
      </c>
      <c r="G24" s="27">
        <f t="shared" si="1"/>
        <v>335613.54231249995</v>
      </c>
      <c r="H24" s="27">
        <f t="shared" si="1"/>
        <v>397966.2673125001</v>
      </c>
      <c r="I24" s="27">
        <f t="shared" si="1"/>
        <v>460318.9923125</v>
      </c>
      <c r="J24" s="27">
        <f t="shared" si="1"/>
        <v>522671.71731249994</v>
      </c>
    </row>
    <row r="25" spans="3:10" ht="14.25">
      <c r="C25" s="26">
        <f>'예상연금2011년부터 가입'!B23</f>
        <v>730000</v>
      </c>
      <c r="D25" s="27">
        <f t="shared" si="1"/>
        <v>147659.42656249998</v>
      </c>
      <c r="E25" s="27">
        <f t="shared" si="1"/>
        <v>215502.946875</v>
      </c>
      <c r="F25" s="27">
        <f t="shared" si="1"/>
        <v>279834.56731250003</v>
      </c>
      <c r="G25" s="27">
        <f t="shared" si="1"/>
        <v>343687.29231249995</v>
      </c>
      <c r="H25" s="27">
        <f t="shared" si="1"/>
        <v>407540.0173125001</v>
      </c>
      <c r="I25" s="27">
        <f t="shared" si="1"/>
        <v>471392.7423125</v>
      </c>
      <c r="J25" s="27">
        <f t="shared" si="1"/>
        <v>535245.4673125</v>
      </c>
    </row>
    <row r="26" spans="3:10" ht="14.25">
      <c r="C26" s="26">
        <f>'예상연금2011년부터 가입'!B24</f>
        <v>790000</v>
      </c>
      <c r="D26" s="27">
        <f t="shared" si="1"/>
        <v>151128.17656249998</v>
      </c>
      <c r="E26" s="27">
        <f t="shared" si="1"/>
        <v>220565.446875</v>
      </c>
      <c r="F26" s="27">
        <f t="shared" si="1"/>
        <v>286408.31731250003</v>
      </c>
      <c r="G26" s="27">
        <f t="shared" si="1"/>
        <v>351761.0423125</v>
      </c>
      <c r="H26" s="27">
        <f t="shared" si="1"/>
        <v>417113.7673125001</v>
      </c>
      <c r="I26" s="27">
        <f t="shared" si="1"/>
        <v>482466.4923125</v>
      </c>
      <c r="J26" s="27">
        <f t="shared" si="1"/>
        <v>547819.2173125</v>
      </c>
    </row>
    <row r="27" spans="3:10" ht="14.25">
      <c r="C27" s="26">
        <f>'예상연금2011년부터 가입'!B25</f>
        <v>850000</v>
      </c>
      <c r="D27" s="27">
        <f t="shared" si="1"/>
        <v>154596.92656249998</v>
      </c>
      <c r="E27" s="27">
        <f t="shared" si="1"/>
        <v>225627.946875</v>
      </c>
      <c r="F27" s="27">
        <f t="shared" si="1"/>
        <v>292982.06731250003</v>
      </c>
      <c r="G27" s="27">
        <f t="shared" si="1"/>
        <v>359834.7923125</v>
      </c>
      <c r="H27" s="27">
        <f t="shared" si="1"/>
        <v>426687.5173125001</v>
      </c>
      <c r="I27" s="27">
        <f t="shared" si="1"/>
        <v>493540.24231249996</v>
      </c>
      <c r="J27" s="27">
        <f t="shared" si="1"/>
        <v>560392.9673125</v>
      </c>
    </row>
    <row r="28" spans="3:10" ht="14.25">
      <c r="C28" s="26">
        <f>'예상연금2011년부터 가입'!B26</f>
        <v>920000</v>
      </c>
      <c r="D28" s="27">
        <f t="shared" si="1"/>
        <v>158643.80156249998</v>
      </c>
      <c r="E28" s="27">
        <f t="shared" si="1"/>
        <v>231534.196875</v>
      </c>
      <c r="F28" s="27">
        <f t="shared" si="1"/>
        <v>300651.44231250003</v>
      </c>
      <c r="G28" s="27">
        <f t="shared" si="1"/>
        <v>369254.1673125</v>
      </c>
      <c r="H28" s="27">
        <f t="shared" si="1"/>
        <v>437856.8923125001</v>
      </c>
      <c r="I28" s="27">
        <f t="shared" si="1"/>
        <v>506459.61731249996</v>
      </c>
      <c r="J28" s="27">
        <f t="shared" si="1"/>
        <v>575062.3423125</v>
      </c>
    </row>
    <row r="29" spans="3:10" ht="14.25">
      <c r="C29" s="26">
        <f>'예상연금2011년부터 가입'!B27</f>
        <v>990000</v>
      </c>
      <c r="D29" s="27">
        <f aca="true" t="shared" si="2" ref="D29:J38">(($D$59*($C$6+$C29)*E$59/E$81)+($D$60*($C$6+$C29)*E$60/E$81)+($D$61*($C$6+$C29)*E$61/E$81)+($D$62*($C$6+$C29)*E$62/E$81)+($D$63*($C$6+$C29)*E$63/E$81)+($D$64*($C$6+$C29)*E$64/E$81)+($D$65*($C$6+$C29)*E$65/E$81)+($D$66*($C$6+$C29)*E$66/E$81)+($D$67*($C$6+$C29)*E$67/E$81)+($D$68*($C$6+$C29)*E$68/E$81)+($D$69*($C$6+$C29)*E$69/E$81)+($D$70*($C$6+$C29)*E$70/E$81)+($D$71*($C$6+$C29)*E$71/E$81)+($D$72*($C$6+$C29)*E$72/E$81)+($D$73*($C$6+$C29)*E$73/E$81)+($D$74*($C$6+$C29)*E$74/E$81)+($D$75*($C$6+$C29)*E$75/E$81)+($D$76*($C$6+$C29)*E$76/E$81)+($D$77*($C$6+$C29)*E$77/E$81)+($D$78*($C$6+$C29)*E$78/E$81)+($D$79*($C$6+$C29)*E$79/E$81)+($D$80*($C$6+$C29)*E$80/E$81))*E$81*12/240/12</f>
        <v>162690.67656249998</v>
      </c>
      <c r="E29" s="27">
        <f t="shared" si="2"/>
        <v>237440.446875</v>
      </c>
      <c r="F29" s="27">
        <f t="shared" si="2"/>
        <v>308320.81731250003</v>
      </c>
      <c r="G29" s="27">
        <f t="shared" si="2"/>
        <v>378673.5423125</v>
      </c>
      <c r="H29" s="27">
        <f t="shared" si="2"/>
        <v>449026.2673125001</v>
      </c>
      <c r="I29" s="27">
        <f t="shared" si="2"/>
        <v>519378.99231249996</v>
      </c>
      <c r="J29" s="27">
        <f t="shared" si="2"/>
        <v>589731.7173124999</v>
      </c>
    </row>
    <row r="30" spans="3:10" ht="14.25">
      <c r="C30" s="26">
        <f>'예상연금2011년부터 가입'!B28</f>
        <v>1060000</v>
      </c>
      <c r="D30" s="27">
        <f t="shared" si="2"/>
        <v>166737.55156249998</v>
      </c>
      <c r="E30" s="27">
        <f t="shared" si="2"/>
        <v>243346.69687499994</v>
      </c>
      <c r="F30" s="27">
        <f t="shared" si="2"/>
        <v>315990.19231250003</v>
      </c>
      <c r="G30" s="27">
        <f t="shared" si="2"/>
        <v>388092.9173125</v>
      </c>
      <c r="H30" s="27">
        <f t="shared" si="2"/>
        <v>460195.6423124999</v>
      </c>
      <c r="I30" s="27">
        <f t="shared" si="2"/>
        <v>532298.3673124999</v>
      </c>
      <c r="J30" s="27">
        <f t="shared" si="2"/>
        <v>604401.0923124999</v>
      </c>
    </row>
    <row r="31" spans="3:10" ht="14.25">
      <c r="C31" s="26">
        <f>'예상연금2011년부터 가입'!B29</f>
        <v>1130000</v>
      </c>
      <c r="D31" s="27">
        <f t="shared" si="2"/>
        <v>170784.42656249998</v>
      </c>
      <c r="E31" s="27">
        <f t="shared" si="2"/>
        <v>249252.946875</v>
      </c>
      <c r="F31" s="27">
        <f t="shared" si="2"/>
        <v>323659.56731250003</v>
      </c>
      <c r="G31" s="27">
        <f t="shared" si="2"/>
        <v>397512.2923125</v>
      </c>
      <c r="H31" s="27">
        <f t="shared" si="2"/>
        <v>471365.0173124999</v>
      </c>
      <c r="I31" s="27">
        <f t="shared" si="2"/>
        <v>545217.7423124999</v>
      </c>
      <c r="J31" s="27">
        <f t="shared" si="2"/>
        <v>619070.4673124999</v>
      </c>
    </row>
    <row r="32" spans="3:10" ht="14.25">
      <c r="C32" s="26">
        <f>'예상연금2011년부터 가입'!B30</f>
        <v>1210000</v>
      </c>
      <c r="D32" s="27">
        <f t="shared" si="2"/>
        <v>175409.42656249998</v>
      </c>
      <c r="E32" s="27">
        <f t="shared" si="2"/>
        <v>256002.946875</v>
      </c>
      <c r="F32" s="27">
        <f t="shared" si="2"/>
        <v>332424.56731250003</v>
      </c>
      <c r="G32" s="27">
        <f t="shared" si="2"/>
        <v>408277.2923125</v>
      </c>
      <c r="H32" s="27">
        <f t="shared" si="2"/>
        <v>484130.0173124999</v>
      </c>
      <c r="I32" s="27">
        <f t="shared" si="2"/>
        <v>559982.7423125001</v>
      </c>
      <c r="J32" s="27">
        <f t="shared" si="2"/>
        <v>635835.4673124999</v>
      </c>
    </row>
    <row r="33" spans="3:10" ht="14.25">
      <c r="C33" s="26">
        <f>'예상연금2011년부터 가입'!B31</f>
        <v>1290000</v>
      </c>
      <c r="D33" s="27">
        <f t="shared" si="2"/>
        <v>180034.42656249998</v>
      </c>
      <c r="E33" s="27">
        <f t="shared" si="2"/>
        <v>262752.94687499997</v>
      </c>
      <c r="F33" s="27">
        <f t="shared" si="2"/>
        <v>341189.56731250003</v>
      </c>
      <c r="G33" s="27">
        <f t="shared" si="2"/>
        <v>419042.2923125</v>
      </c>
      <c r="H33" s="27">
        <f t="shared" si="2"/>
        <v>496895.0173124999</v>
      </c>
      <c r="I33" s="27">
        <f t="shared" si="2"/>
        <v>574747.7423125</v>
      </c>
      <c r="J33" s="27">
        <f t="shared" si="2"/>
        <v>652600.4673125</v>
      </c>
    </row>
    <row r="34" spans="3:10" ht="14.25">
      <c r="C34" s="26">
        <f>'예상연금2011년부터 가입'!B32</f>
        <v>1380000</v>
      </c>
      <c r="D34" s="27">
        <f t="shared" si="2"/>
        <v>185237.55156249998</v>
      </c>
      <c r="E34" s="27">
        <f t="shared" si="2"/>
        <v>270346.696875</v>
      </c>
      <c r="F34" s="27">
        <f t="shared" si="2"/>
        <v>351050.1923125</v>
      </c>
      <c r="G34" s="27">
        <f t="shared" si="2"/>
        <v>431152.9173125</v>
      </c>
      <c r="H34" s="27">
        <f t="shared" si="2"/>
        <v>511255.6423125001</v>
      </c>
      <c r="I34" s="27">
        <f t="shared" si="2"/>
        <v>591358.3673124999</v>
      </c>
      <c r="J34" s="27">
        <f t="shared" si="2"/>
        <v>671461.0923125</v>
      </c>
    </row>
    <row r="35" spans="3:10" ht="14.25">
      <c r="C35" s="26">
        <f>'예상연금2011년부터 가입'!B33</f>
        <v>1457000</v>
      </c>
      <c r="D35" s="27">
        <f t="shared" si="2"/>
        <v>189689.11406249998</v>
      </c>
      <c r="E35" s="27">
        <f t="shared" si="2"/>
        <v>276843.571875</v>
      </c>
      <c r="F35" s="27">
        <f t="shared" si="2"/>
        <v>359486.5048125</v>
      </c>
      <c r="G35" s="27">
        <f t="shared" si="2"/>
        <v>441514.22981250007</v>
      </c>
      <c r="H35" s="27">
        <f t="shared" si="2"/>
        <v>523541.9548125001</v>
      </c>
      <c r="I35" s="27">
        <f t="shared" si="2"/>
        <v>605569.6798124999</v>
      </c>
      <c r="J35" s="27">
        <f t="shared" si="2"/>
        <v>687597.4048125</v>
      </c>
    </row>
    <row r="36" spans="3:10" ht="14.25">
      <c r="C36" s="26">
        <f>'예상연금2011년부터 가입'!B34</f>
        <v>1470000</v>
      </c>
      <c r="D36" s="27">
        <f t="shared" si="2"/>
        <v>190440.67656249998</v>
      </c>
      <c r="E36" s="27">
        <f t="shared" si="2"/>
        <v>277940.446875</v>
      </c>
      <c r="F36" s="27">
        <f t="shared" si="2"/>
        <v>360910.8173125</v>
      </c>
      <c r="G36" s="27">
        <f t="shared" si="2"/>
        <v>443263.5423125</v>
      </c>
      <c r="H36" s="27">
        <f t="shared" si="2"/>
        <v>525616.2673125</v>
      </c>
      <c r="I36" s="27">
        <f t="shared" si="2"/>
        <v>607968.9923125</v>
      </c>
      <c r="J36" s="27">
        <f t="shared" si="2"/>
        <v>690321.7173125</v>
      </c>
    </row>
    <row r="37" spans="3:10" ht="14.25">
      <c r="C37" s="26">
        <f>'예상연금2011년부터 가입'!B35</f>
        <v>1560000</v>
      </c>
      <c r="D37" s="27">
        <f t="shared" si="2"/>
        <v>195643.80156249998</v>
      </c>
      <c r="E37" s="27">
        <f t="shared" si="2"/>
        <v>285534.19687499997</v>
      </c>
      <c r="F37" s="27">
        <f t="shared" si="2"/>
        <v>370771.4423125</v>
      </c>
      <c r="G37" s="27">
        <f t="shared" si="2"/>
        <v>455374.1673125</v>
      </c>
      <c r="H37" s="27">
        <f t="shared" si="2"/>
        <v>539976.8923125</v>
      </c>
      <c r="I37" s="27">
        <f t="shared" si="2"/>
        <v>624579.6173124999</v>
      </c>
      <c r="J37" s="27">
        <f t="shared" si="2"/>
        <v>709182.3423124999</v>
      </c>
    </row>
    <row r="38" spans="3:10" ht="14.25">
      <c r="C38" s="26">
        <f>'예상연금2011년부터 가입'!B36</f>
        <v>1660000</v>
      </c>
      <c r="D38" s="27">
        <f t="shared" si="2"/>
        <v>201425.05156249998</v>
      </c>
      <c r="E38" s="27">
        <f t="shared" si="2"/>
        <v>293971.69687499997</v>
      </c>
      <c r="F38" s="27">
        <f t="shared" si="2"/>
        <v>381727.69231250003</v>
      </c>
      <c r="G38" s="27">
        <f t="shared" si="2"/>
        <v>468830.4173125</v>
      </c>
      <c r="H38" s="27">
        <f t="shared" si="2"/>
        <v>555933.1423125</v>
      </c>
      <c r="I38" s="27">
        <f t="shared" si="2"/>
        <v>643035.8673124999</v>
      </c>
      <c r="J38" s="27">
        <f t="shared" si="2"/>
        <v>730138.5923124999</v>
      </c>
    </row>
    <row r="39" spans="3:10" ht="14.25">
      <c r="C39" s="26">
        <f>'예상연금2011년부터 가입'!B37</f>
        <v>1760000</v>
      </c>
      <c r="D39" s="27">
        <f aca="true" t="shared" si="3" ref="D39:J48">(($D$59*($C$6+$C39)*E$59/E$81)+($D$60*($C$6+$C39)*E$60/E$81)+($D$61*($C$6+$C39)*E$61/E$81)+($D$62*($C$6+$C39)*E$62/E$81)+($D$63*($C$6+$C39)*E$63/E$81)+($D$64*($C$6+$C39)*E$64/E$81)+($D$65*($C$6+$C39)*E$65/E$81)+($D$66*($C$6+$C39)*E$66/E$81)+($D$67*($C$6+$C39)*E$67/E$81)+($D$68*($C$6+$C39)*E$68/E$81)+($D$69*($C$6+$C39)*E$69/E$81)+($D$70*($C$6+$C39)*E$70/E$81)+($D$71*($C$6+$C39)*E$71/E$81)+($D$72*($C$6+$C39)*E$72/E$81)+($D$73*($C$6+$C39)*E$73/E$81)+($D$74*($C$6+$C39)*E$74/E$81)+($D$75*($C$6+$C39)*E$75/E$81)+($D$76*($C$6+$C39)*E$76/E$81)+($D$77*($C$6+$C39)*E$77/E$81)+($D$78*($C$6+$C39)*E$78/E$81)+($D$79*($C$6+$C39)*E$79/E$81)+($D$80*($C$6+$C39)*E$80/E$81))*E$81*12/240/12</f>
        <v>207206.30156249998</v>
      </c>
      <c r="E39" s="27">
        <f t="shared" si="3"/>
        <v>302409.19687499997</v>
      </c>
      <c r="F39" s="27">
        <f t="shared" si="3"/>
        <v>392683.94231250003</v>
      </c>
      <c r="G39" s="27">
        <f t="shared" si="3"/>
        <v>482286.6673125</v>
      </c>
      <c r="H39" s="27">
        <f t="shared" si="3"/>
        <v>571889.3923125</v>
      </c>
      <c r="I39" s="27">
        <f t="shared" si="3"/>
        <v>661492.1173124999</v>
      </c>
      <c r="J39" s="27">
        <f t="shared" si="3"/>
        <v>751094.8423124999</v>
      </c>
    </row>
    <row r="40" spans="3:10" ht="14.25">
      <c r="C40" s="26">
        <f>'예상연금2011년부터 가입'!B38</f>
        <v>1860000</v>
      </c>
      <c r="D40" s="27">
        <f t="shared" si="3"/>
        <v>212987.55156249998</v>
      </c>
      <c r="E40" s="27">
        <f t="shared" si="3"/>
        <v>310846.69687499997</v>
      </c>
      <c r="F40" s="27">
        <f t="shared" si="3"/>
        <v>403640.19231250003</v>
      </c>
      <c r="G40" s="27">
        <f t="shared" si="3"/>
        <v>495742.9173125</v>
      </c>
      <c r="H40" s="27">
        <f t="shared" si="3"/>
        <v>587845.6423125</v>
      </c>
      <c r="I40" s="27">
        <f t="shared" si="3"/>
        <v>679948.3673125</v>
      </c>
      <c r="J40" s="27">
        <f t="shared" si="3"/>
        <v>772051.0923124999</v>
      </c>
    </row>
    <row r="41" spans="3:10" ht="14.25">
      <c r="C41" s="26">
        <f>'예상연금2011년부터 가입'!B39</f>
        <v>1970000</v>
      </c>
      <c r="D41" s="27">
        <f t="shared" si="3"/>
        <v>219346.92656249998</v>
      </c>
      <c r="E41" s="27">
        <f t="shared" si="3"/>
        <v>320127.94687499997</v>
      </c>
      <c r="F41" s="27">
        <f t="shared" si="3"/>
        <v>415692.06731250003</v>
      </c>
      <c r="G41" s="27">
        <f t="shared" si="3"/>
        <v>510544.7923125</v>
      </c>
      <c r="H41" s="27">
        <f t="shared" si="3"/>
        <v>605397.5173125</v>
      </c>
      <c r="I41" s="27">
        <f t="shared" si="3"/>
        <v>700250.2423124999</v>
      </c>
      <c r="J41" s="27">
        <f t="shared" si="3"/>
        <v>795102.9673124999</v>
      </c>
    </row>
    <row r="42" spans="3:10" ht="14.25">
      <c r="C42" s="26">
        <f>'예상연금2011년부터 가입'!B40</f>
        <v>2080000</v>
      </c>
      <c r="D42" s="27">
        <f t="shared" si="3"/>
        <v>225706.30156249998</v>
      </c>
      <c r="E42" s="27">
        <f t="shared" si="3"/>
        <v>329409.19687499997</v>
      </c>
      <c r="F42" s="27">
        <f t="shared" si="3"/>
        <v>427743.94231250003</v>
      </c>
      <c r="G42" s="27">
        <f t="shared" si="3"/>
        <v>525346.6673125</v>
      </c>
      <c r="H42" s="27">
        <f t="shared" si="3"/>
        <v>622949.3923125</v>
      </c>
      <c r="I42" s="27">
        <f t="shared" si="3"/>
        <v>720552.1173124999</v>
      </c>
      <c r="J42" s="27">
        <f t="shared" si="3"/>
        <v>818154.8423124999</v>
      </c>
    </row>
    <row r="43" spans="3:10" ht="14.25">
      <c r="C43" s="26">
        <f>'예상연금2011년부터 가입'!B41</f>
        <v>2190000</v>
      </c>
      <c r="D43" s="27">
        <f t="shared" si="3"/>
        <v>232065.67656249998</v>
      </c>
      <c r="E43" s="27">
        <f t="shared" si="3"/>
        <v>338690.44687499997</v>
      </c>
      <c r="F43" s="27">
        <f t="shared" si="3"/>
        <v>439795.81731250003</v>
      </c>
      <c r="G43" s="27">
        <f t="shared" si="3"/>
        <v>540148.5423125</v>
      </c>
      <c r="H43" s="27">
        <f t="shared" si="3"/>
        <v>640501.2673125</v>
      </c>
      <c r="I43" s="27">
        <f t="shared" si="3"/>
        <v>740853.9923124999</v>
      </c>
      <c r="J43" s="27">
        <f t="shared" si="3"/>
        <v>841206.7173124999</v>
      </c>
    </row>
    <row r="44" spans="3:10" ht="14.25">
      <c r="C44" s="26">
        <f>'예상연금2011년부터 가입'!B42</f>
        <v>2300000</v>
      </c>
      <c r="D44" s="27">
        <f t="shared" si="3"/>
        <v>238425.05156249998</v>
      </c>
      <c r="E44" s="27">
        <f t="shared" si="3"/>
        <v>347971.69687499997</v>
      </c>
      <c r="F44" s="27">
        <f t="shared" si="3"/>
        <v>451847.69231250003</v>
      </c>
      <c r="G44" s="27">
        <f t="shared" si="3"/>
        <v>554950.4173125</v>
      </c>
      <c r="H44" s="27">
        <f t="shared" si="3"/>
        <v>658053.1423125</v>
      </c>
      <c r="I44" s="27">
        <f t="shared" si="3"/>
        <v>761155.8673125003</v>
      </c>
      <c r="J44" s="27">
        <f t="shared" si="3"/>
        <v>864258.5923124999</v>
      </c>
    </row>
    <row r="45" spans="3:10" ht="14.25">
      <c r="C45" s="26">
        <f>'예상연금2011년부터 가입'!B43</f>
        <v>2420000</v>
      </c>
      <c r="D45" s="27">
        <f t="shared" si="3"/>
        <v>245362.55156249998</v>
      </c>
      <c r="E45" s="27">
        <f t="shared" si="3"/>
        <v>358096.69687499997</v>
      </c>
      <c r="F45" s="27">
        <f t="shared" si="3"/>
        <v>464995.19231250003</v>
      </c>
      <c r="G45" s="27">
        <f t="shared" si="3"/>
        <v>571097.9173125001</v>
      </c>
      <c r="H45" s="27">
        <f t="shared" si="3"/>
        <v>677200.6423125</v>
      </c>
      <c r="I45" s="27">
        <f t="shared" si="3"/>
        <v>783303.3673125001</v>
      </c>
      <c r="J45" s="27">
        <f t="shared" si="3"/>
        <v>889406.0923124999</v>
      </c>
    </row>
    <row r="46" spans="3:10" ht="14.25">
      <c r="C46" s="26">
        <f>'예상연금2011년부터 가입'!B44</f>
        <v>2540000</v>
      </c>
      <c r="D46" s="27">
        <f t="shared" si="3"/>
        <v>252300.05156249998</v>
      </c>
      <c r="E46" s="27">
        <f t="shared" si="3"/>
        <v>368221.69687499997</v>
      </c>
      <c r="F46" s="27">
        <f t="shared" si="3"/>
        <v>478142.69231250003</v>
      </c>
      <c r="G46" s="27">
        <f t="shared" si="3"/>
        <v>587245.4173125001</v>
      </c>
      <c r="H46" s="27">
        <f t="shared" si="3"/>
        <v>696348.1423124998</v>
      </c>
      <c r="I46" s="27">
        <f t="shared" si="3"/>
        <v>805450.8673124999</v>
      </c>
      <c r="J46" s="27">
        <f t="shared" si="3"/>
        <v>914553.5923124999</v>
      </c>
    </row>
    <row r="47" spans="3:10" ht="14.25">
      <c r="C47" s="26">
        <f>'예상연금2011년부터 가입'!B45</f>
        <v>2670000</v>
      </c>
      <c r="D47" s="27">
        <f t="shared" si="3"/>
        <v>259815.67656249998</v>
      </c>
      <c r="E47" s="27">
        <f t="shared" si="3"/>
        <v>379190.44687499997</v>
      </c>
      <c r="F47" s="27">
        <f t="shared" si="3"/>
        <v>492385.8173124999</v>
      </c>
      <c r="G47" s="27">
        <f t="shared" si="3"/>
        <v>604738.5423125001</v>
      </c>
      <c r="H47" s="27">
        <f t="shared" si="3"/>
        <v>717091.2673124998</v>
      </c>
      <c r="I47" s="27">
        <f t="shared" si="3"/>
        <v>829443.9923124999</v>
      </c>
      <c r="J47" s="27">
        <f t="shared" si="3"/>
        <v>941796.7173124999</v>
      </c>
    </row>
    <row r="48" spans="3:10" ht="14.25">
      <c r="C48" s="26">
        <f>'예상연금2011년부터 가입'!B46</f>
        <v>2800000</v>
      </c>
      <c r="D48" s="27">
        <f t="shared" si="3"/>
        <v>267331.3015625</v>
      </c>
      <c r="E48" s="27">
        <f t="shared" si="3"/>
        <v>390159.19687499997</v>
      </c>
      <c r="F48" s="27">
        <f t="shared" si="3"/>
        <v>506628.9423124999</v>
      </c>
      <c r="G48" s="27">
        <f t="shared" si="3"/>
        <v>622231.6673125001</v>
      </c>
      <c r="H48" s="27">
        <f t="shared" si="3"/>
        <v>737834.3923124998</v>
      </c>
      <c r="I48" s="27">
        <f t="shared" si="3"/>
        <v>853437.1173125001</v>
      </c>
      <c r="J48" s="27">
        <f t="shared" si="3"/>
        <v>969039.8423124999</v>
      </c>
    </row>
    <row r="49" spans="3:10" ht="14.25">
      <c r="C49" s="26">
        <f>'예상연금2011년부터 가입'!B47</f>
        <v>2940000</v>
      </c>
      <c r="D49" s="27">
        <f aca="true" t="shared" si="4" ref="D49:J53">(($D$59*($C$6+$C49)*E$59/E$81)+($D$60*($C$6+$C49)*E$60/E$81)+($D$61*($C$6+$C49)*E$61/E$81)+($D$62*($C$6+$C49)*E$62/E$81)+($D$63*($C$6+$C49)*E$63/E$81)+($D$64*($C$6+$C49)*E$64/E$81)+($D$65*($C$6+$C49)*E$65/E$81)+($D$66*($C$6+$C49)*E$66/E$81)+($D$67*($C$6+$C49)*E$67/E$81)+($D$68*($C$6+$C49)*E$68/E$81)+($D$69*($C$6+$C49)*E$69/E$81)+($D$70*($C$6+$C49)*E$70/E$81)+($D$71*($C$6+$C49)*E$71/E$81)+($D$72*($C$6+$C49)*E$72/E$81)+($D$73*($C$6+$C49)*E$73/E$81)+($D$74*($C$6+$C49)*E$74/E$81)+($D$75*($C$6+$C49)*E$75/E$81)+($D$76*($C$6+$C49)*E$76/E$81)+($D$77*($C$6+$C49)*E$77/E$81)+($D$78*($C$6+$C49)*E$78/E$81)+($D$79*($C$6+$C49)*E$79/E$81)+($D$80*($C$6+$C49)*E$80/E$81))*E$81*12/240/12</f>
        <v>275425.0515625</v>
      </c>
      <c r="E49" s="27">
        <f t="shared" si="4"/>
        <v>401971.69687499997</v>
      </c>
      <c r="F49" s="27">
        <f t="shared" si="4"/>
        <v>521967.6923124999</v>
      </c>
      <c r="G49" s="27">
        <f t="shared" si="4"/>
        <v>641070.4173125001</v>
      </c>
      <c r="H49" s="27">
        <f t="shared" si="4"/>
        <v>760173.1423124998</v>
      </c>
      <c r="I49" s="27">
        <f t="shared" si="4"/>
        <v>879275.8673125001</v>
      </c>
      <c r="J49" s="27">
        <f t="shared" si="4"/>
        <v>998378.5923124999</v>
      </c>
    </row>
    <row r="50" spans="3:10" ht="14.25">
      <c r="C50" s="26">
        <f>'예상연금2011년부터 가입'!B48</f>
        <v>3080000</v>
      </c>
      <c r="D50" s="27">
        <f t="shared" si="4"/>
        <v>283518.8015625</v>
      </c>
      <c r="E50" s="27">
        <f t="shared" si="4"/>
        <v>413784.19687499997</v>
      </c>
      <c r="F50" s="27">
        <f t="shared" si="4"/>
        <v>537306.4423124999</v>
      </c>
      <c r="G50" s="27">
        <f t="shared" si="4"/>
        <v>659909.1673125001</v>
      </c>
      <c r="H50" s="27">
        <f t="shared" si="4"/>
        <v>782511.8923124998</v>
      </c>
      <c r="I50" s="27">
        <f t="shared" si="4"/>
        <v>905114.6173125001</v>
      </c>
      <c r="J50" s="27">
        <f t="shared" si="4"/>
        <v>1027717.3423124999</v>
      </c>
    </row>
    <row r="51" spans="3:10" ht="14.25">
      <c r="C51" s="26">
        <f>'예상연금2011년부터 가입'!B49</f>
        <v>3230000</v>
      </c>
      <c r="D51" s="27">
        <f t="shared" si="4"/>
        <v>292190.6765625</v>
      </c>
      <c r="E51" s="27">
        <f t="shared" si="4"/>
        <v>426440.44687499997</v>
      </c>
      <c r="F51" s="27">
        <f t="shared" si="4"/>
        <v>553740.8173124999</v>
      </c>
      <c r="G51" s="27">
        <f t="shared" si="4"/>
        <v>680093.5423125001</v>
      </c>
      <c r="H51" s="27">
        <f t="shared" si="4"/>
        <v>806446.2673124998</v>
      </c>
      <c r="I51" s="27">
        <f t="shared" si="4"/>
        <v>932798.9923124999</v>
      </c>
      <c r="J51" s="27">
        <f t="shared" si="4"/>
        <v>1059151.7173124999</v>
      </c>
    </row>
    <row r="52" spans="3:10" ht="14.25">
      <c r="C52" s="26">
        <f>'예상연금2011년부터 가입'!B50</f>
        <v>3380000</v>
      </c>
      <c r="D52" s="27">
        <f t="shared" si="4"/>
        <v>300862.5515624999</v>
      </c>
      <c r="E52" s="27">
        <f t="shared" si="4"/>
        <v>439096.69687499997</v>
      </c>
      <c r="F52" s="27">
        <f t="shared" si="4"/>
        <v>570175.1923124999</v>
      </c>
      <c r="G52" s="27">
        <f t="shared" si="4"/>
        <v>700277.9173125001</v>
      </c>
      <c r="H52" s="27">
        <f t="shared" si="4"/>
        <v>830380.6423124998</v>
      </c>
      <c r="I52" s="27">
        <f t="shared" si="4"/>
        <v>960483.3673124999</v>
      </c>
      <c r="J52" s="27">
        <f t="shared" si="4"/>
        <v>1090586.0923124999</v>
      </c>
    </row>
    <row r="53" spans="3:10" ht="14.25">
      <c r="C53" s="26">
        <f>'예상연금2011년부터 가입'!B51</f>
        <v>3600000</v>
      </c>
      <c r="D53" s="27">
        <f t="shared" si="4"/>
        <v>313581.3015624999</v>
      </c>
      <c r="E53" s="27">
        <f t="shared" si="4"/>
        <v>457659.19687499997</v>
      </c>
      <c r="F53" s="27">
        <f t="shared" si="4"/>
        <v>594278.9423124999</v>
      </c>
      <c r="G53" s="27">
        <f t="shared" si="4"/>
        <v>729881.6673125001</v>
      </c>
      <c r="H53" s="27">
        <f t="shared" si="4"/>
        <v>865484.3923124998</v>
      </c>
      <c r="I53" s="27">
        <f t="shared" si="4"/>
        <v>1001087.1173125001</v>
      </c>
      <c r="J53" s="27">
        <f t="shared" si="4"/>
        <v>1136689.8423124999</v>
      </c>
    </row>
    <row r="54" spans="3:10" ht="14.25">
      <c r="C54" s="26">
        <f>'예상연금2011년부터 가입'!B52</f>
        <v>3680000</v>
      </c>
      <c r="D54" s="27">
        <f aca="true" t="shared" si="5" ref="D54:J54">(($D$59*($C$6+$C54)*E$59/E$81)+($D$60*($C$6+$C54)*E$60/E$81)+($D$61*($C$6+$C54)*E$61/E$81)+($D$62*($C$6+($C53+$C54)/2)*E$62/E$81)+($D$63*($C$6+$C54)*E$63/E$81)+($D$64*($C$6+$C54)*E$64/E$81)+($D$65*($C$6+$C54)*E$65/E$81)+($D$66*($C$6+$C54)*E$66/E$81)+($D$67*($C$6+$C54)*E$67/E$81)+($D$68*($C$6+$C54)*E$68/E$81)+($D$69*($C$6+$C54)*E$69/E$81)+($D$70*($C$6+$C54)*E$70/E$81)+($D$71*($C$6+$C54)*E$71/E$81)+($D$72*($C$6+$C54)*E$72/E$81)+($D$73*($C$6+$C54)*E$73/E$81)+($D$74*($C$6+$C54)*E$74/E$81)+($D$75*($C$6+$C54)*E$75/E$81)+($D$76*($C$6+$C54)*E$76/E$81)+($D$77*($C$6+$C54)*E$77/E$81)+($D$78*($C$6+$C54)*E$78/E$81)+($D$79*($C$6+$C54)*E$79/E$81)+($D$80*($C$6+$C54)*E$80/E$81))*E$81*12/240/12</f>
        <v>318206.3015624999</v>
      </c>
      <c r="E54" s="27">
        <f t="shared" si="5"/>
        <v>464409.19687499997</v>
      </c>
      <c r="F54" s="27">
        <f t="shared" si="5"/>
        <v>603043.9423124999</v>
      </c>
      <c r="G54" s="27">
        <f t="shared" si="5"/>
        <v>740646.6673125001</v>
      </c>
      <c r="H54" s="27">
        <f t="shared" si="5"/>
        <v>878249.3923124998</v>
      </c>
      <c r="I54" s="27">
        <f t="shared" si="5"/>
        <v>1015852.1173125001</v>
      </c>
      <c r="J54" s="27">
        <f t="shared" si="5"/>
        <v>1153454.8423124999</v>
      </c>
    </row>
    <row r="55" spans="2:10" ht="14.25">
      <c r="B55" s="28"/>
      <c r="C55" s="26">
        <f>'예상연금2011년부터 가입'!B53</f>
        <v>3750000</v>
      </c>
      <c r="D55" s="27">
        <v>322050.8328125002</v>
      </c>
      <c r="E55" s="27">
        <v>470118.57215625024</v>
      </c>
      <c r="F55" s="27">
        <v>610521.5829375007</v>
      </c>
      <c r="G55" s="27">
        <v>749877.6548125008</v>
      </c>
      <c r="H55" s="27">
        <v>889232.610530626</v>
      </c>
      <c r="I55" s="27">
        <v>1028586.9298125012</v>
      </c>
      <c r="J55" s="27">
        <v>1167940.850125</v>
      </c>
    </row>
    <row r="56" ht="14.25">
      <c r="E56" s="21"/>
    </row>
    <row r="57" spans="3:5" ht="14.25">
      <c r="C57" s="24"/>
      <c r="D57" s="21" t="s">
        <v>38</v>
      </c>
      <c r="E57" s="21" t="s">
        <v>78</v>
      </c>
    </row>
    <row r="58" spans="3:5" ht="14.25">
      <c r="C58" s="21" t="s">
        <v>37</v>
      </c>
      <c r="D58" s="29">
        <v>2.4</v>
      </c>
      <c r="E58" s="21"/>
    </row>
    <row r="59" spans="3:5" ht="14.25">
      <c r="C59" s="21" t="s">
        <v>39</v>
      </c>
      <c r="D59" s="29">
        <v>1.8</v>
      </c>
      <c r="E59" s="21"/>
    </row>
    <row r="60" spans="3:5" ht="14.25">
      <c r="C60" s="21" t="s">
        <v>40</v>
      </c>
      <c r="D60" s="29">
        <v>1.5</v>
      </c>
      <c r="E60" s="21"/>
    </row>
    <row r="61" spans="3:5" ht="14.25">
      <c r="C61" s="21" t="s">
        <v>10</v>
      </c>
      <c r="D61" s="29">
        <v>1.485</v>
      </c>
      <c r="E61" s="21"/>
    </row>
    <row r="62" spans="3:5" ht="14.25">
      <c r="C62" s="21" t="s">
        <v>11</v>
      </c>
      <c r="D62" s="29">
        <v>1.47</v>
      </c>
      <c r="E62" s="21"/>
    </row>
    <row r="63" spans="3:11" ht="14.25">
      <c r="C63" s="21" t="s">
        <v>12</v>
      </c>
      <c r="D63" s="29">
        <v>1.455</v>
      </c>
      <c r="E63" s="21">
        <v>1</v>
      </c>
      <c r="F63" s="21">
        <v>1</v>
      </c>
      <c r="G63" s="21">
        <v>1</v>
      </c>
      <c r="H63" s="21">
        <v>1</v>
      </c>
      <c r="I63" s="21">
        <v>1</v>
      </c>
      <c r="J63" s="21">
        <v>1</v>
      </c>
      <c r="K63" s="21">
        <v>1</v>
      </c>
    </row>
    <row r="64" spans="3:11" ht="14.25">
      <c r="C64" s="21" t="s">
        <v>13</v>
      </c>
      <c r="D64" s="29">
        <v>1.44</v>
      </c>
      <c r="E64" s="21">
        <v>1</v>
      </c>
      <c r="F64" s="21">
        <v>1</v>
      </c>
      <c r="G64" s="21">
        <v>1</v>
      </c>
      <c r="H64" s="21">
        <v>1</v>
      </c>
      <c r="I64" s="21">
        <v>1</v>
      </c>
      <c r="J64" s="21">
        <v>1</v>
      </c>
      <c r="K64" s="21">
        <v>1</v>
      </c>
    </row>
    <row r="65" spans="3:11" ht="14.25">
      <c r="C65" s="21" t="s">
        <v>14</v>
      </c>
      <c r="D65" s="29">
        <v>1.425</v>
      </c>
      <c r="E65" s="21">
        <v>1</v>
      </c>
      <c r="F65" s="21">
        <v>1</v>
      </c>
      <c r="G65" s="21">
        <v>1</v>
      </c>
      <c r="H65" s="21">
        <v>1</v>
      </c>
      <c r="I65" s="21">
        <v>1</v>
      </c>
      <c r="J65" s="21">
        <v>1</v>
      </c>
      <c r="K65" s="21">
        <v>1</v>
      </c>
    </row>
    <row r="66" spans="3:11" ht="14.25">
      <c r="C66" s="21" t="s">
        <v>15</v>
      </c>
      <c r="D66" s="29">
        <v>1.41</v>
      </c>
      <c r="E66" s="21">
        <v>1</v>
      </c>
      <c r="F66" s="21">
        <v>1</v>
      </c>
      <c r="G66" s="21">
        <v>1</v>
      </c>
      <c r="H66" s="21">
        <v>1</v>
      </c>
      <c r="I66" s="21">
        <v>1</v>
      </c>
      <c r="J66" s="21">
        <v>1</v>
      </c>
      <c r="K66" s="21">
        <v>1</v>
      </c>
    </row>
    <row r="67" spans="3:11" ht="14.25">
      <c r="C67" s="21" t="s">
        <v>16</v>
      </c>
      <c r="D67" s="29">
        <v>1.395</v>
      </c>
      <c r="E67" s="21">
        <v>1</v>
      </c>
      <c r="F67" s="21">
        <v>1</v>
      </c>
      <c r="G67" s="21">
        <v>1</v>
      </c>
      <c r="H67" s="21">
        <v>1</v>
      </c>
      <c r="I67" s="21">
        <v>1</v>
      </c>
      <c r="J67" s="21">
        <v>1</v>
      </c>
      <c r="K67" s="21">
        <v>1</v>
      </c>
    </row>
    <row r="68" spans="3:11" ht="14.25">
      <c r="C68" s="21" t="s">
        <v>17</v>
      </c>
      <c r="D68" s="29">
        <v>1.38</v>
      </c>
      <c r="E68" s="21">
        <v>1</v>
      </c>
      <c r="F68" s="21">
        <v>1</v>
      </c>
      <c r="G68" s="21">
        <v>1</v>
      </c>
      <c r="H68" s="21">
        <v>1</v>
      </c>
      <c r="I68" s="21">
        <v>1</v>
      </c>
      <c r="J68" s="21">
        <v>1</v>
      </c>
      <c r="K68" s="21">
        <v>1</v>
      </c>
    </row>
    <row r="69" spans="3:11" ht="14.25">
      <c r="C69" s="21" t="s">
        <v>18</v>
      </c>
      <c r="D69" s="29">
        <v>1.365</v>
      </c>
      <c r="E69" s="21">
        <v>1</v>
      </c>
      <c r="F69" s="21">
        <v>1</v>
      </c>
      <c r="G69" s="21">
        <v>1</v>
      </c>
      <c r="H69" s="21">
        <v>1</v>
      </c>
      <c r="I69" s="21">
        <v>1</v>
      </c>
      <c r="J69" s="21">
        <v>1</v>
      </c>
      <c r="K69" s="21">
        <v>1</v>
      </c>
    </row>
    <row r="70" spans="3:11" ht="14.25">
      <c r="C70" s="21" t="s">
        <v>19</v>
      </c>
      <c r="D70" s="29">
        <v>1.35</v>
      </c>
      <c r="E70" s="21">
        <v>1</v>
      </c>
      <c r="F70" s="21">
        <v>1</v>
      </c>
      <c r="G70" s="21">
        <v>1</v>
      </c>
      <c r="H70" s="21">
        <v>1</v>
      </c>
      <c r="I70" s="21">
        <v>1</v>
      </c>
      <c r="J70" s="21">
        <v>1</v>
      </c>
      <c r="K70" s="21">
        <v>1</v>
      </c>
    </row>
    <row r="71" spans="3:11" ht="14.25">
      <c r="C71" s="21" t="s">
        <v>20</v>
      </c>
      <c r="D71" s="29">
        <v>1.335</v>
      </c>
      <c r="E71" s="21">
        <v>1</v>
      </c>
      <c r="F71" s="21">
        <v>1</v>
      </c>
      <c r="G71" s="21">
        <v>1</v>
      </c>
      <c r="H71" s="21">
        <v>1</v>
      </c>
      <c r="I71" s="21">
        <v>1</v>
      </c>
      <c r="J71" s="21">
        <v>1</v>
      </c>
      <c r="K71" s="21">
        <v>1</v>
      </c>
    </row>
    <row r="72" spans="3:11" ht="14.25">
      <c r="C72" s="21" t="s">
        <v>21</v>
      </c>
      <c r="D72" s="29">
        <v>1.32</v>
      </c>
      <c r="E72" s="21">
        <v>1</v>
      </c>
      <c r="F72" s="21">
        <v>1</v>
      </c>
      <c r="G72" s="21">
        <v>1</v>
      </c>
      <c r="H72" s="21">
        <v>1</v>
      </c>
      <c r="I72" s="21">
        <v>1</v>
      </c>
      <c r="J72" s="21">
        <v>1</v>
      </c>
      <c r="K72" s="21">
        <v>1</v>
      </c>
    </row>
    <row r="73" spans="3:11" ht="14.25">
      <c r="C73" s="21" t="s">
        <v>22</v>
      </c>
      <c r="D73" s="29">
        <v>1.305</v>
      </c>
      <c r="E73" s="21"/>
      <c r="F73" s="21">
        <v>1</v>
      </c>
      <c r="G73" s="21">
        <v>1</v>
      </c>
      <c r="H73" s="21">
        <v>1</v>
      </c>
      <c r="I73" s="21">
        <v>1</v>
      </c>
      <c r="J73" s="21">
        <v>1</v>
      </c>
      <c r="K73" s="21">
        <v>1</v>
      </c>
    </row>
    <row r="74" spans="3:11" ht="14.25">
      <c r="C74" s="21" t="s">
        <v>23</v>
      </c>
      <c r="D74" s="29">
        <v>1.29</v>
      </c>
      <c r="E74" s="21"/>
      <c r="F74" s="21">
        <v>1</v>
      </c>
      <c r="G74" s="21">
        <v>1</v>
      </c>
      <c r="H74" s="21">
        <v>1</v>
      </c>
      <c r="I74" s="21">
        <v>1</v>
      </c>
      <c r="J74" s="21">
        <v>1</v>
      </c>
      <c r="K74" s="21">
        <v>1</v>
      </c>
    </row>
    <row r="75" spans="3:11" ht="14.25">
      <c r="C75" s="21" t="s">
        <v>24</v>
      </c>
      <c r="D75" s="29">
        <v>1.275</v>
      </c>
      <c r="E75" s="21"/>
      <c r="F75" s="21">
        <v>1</v>
      </c>
      <c r="G75" s="21">
        <v>1</v>
      </c>
      <c r="H75" s="21">
        <v>1</v>
      </c>
      <c r="I75" s="21">
        <v>1</v>
      </c>
      <c r="J75" s="21">
        <v>1</v>
      </c>
      <c r="K75" s="21">
        <v>1</v>
      </c>
    </row>
    <row r="76" spans="3:11" ht="14.25">
      <c r="C76" s="21" t="s">
        <v>25</v>
      </c>
      <c r="D76" s="29">
        <v>1.26</v>
      </c>
      <c r="E76" s="21"/>
      <c r="F76" s="21">
        <v>1</v>
      </c>
      <c r="G76" s="21">
        <v>1</v>
      </c>
      <c r="H76" s="21">
        <v>1</v>
      </c>
      <c r="I76" s="21">
        <v>1</v>
      </c>
      <c r="J76" s="21">
        <v>1</v>
      </c>
      <c r="K76" s="21">
        <v>1</v>
      </c>
    </row>
    <row r="77" spans="3:11" ht="14.25">
      <c r="C77" s="21" t="s">
        <v>26</v>
      </c>
      <c r="D77" s="29">
        <v>1.245</v>
      </c>
      <c r="E77" s="21"/>
      <c r="F77" s="21">
        <v>1</v>
      </c>
      <c r="G77" s="21">
        <v>1</v>
      </c>
      <c r="H77" s="21">
        <v>1</v>
      </c>
      <c r="I77" s="21">
        <v>1</v>
      </c>
      <c r="J77" s="21">
        <v>1</v>
      </c>
      <c r="K77" s="21">
        <v>1</v>
      </c>
    </row>
    <row r="78" spans="3:11" ht="14.25">
      <c r="C78" s="21" t="s">
        <v>27</v>
      </c>
      <c r="D78" s="29">
        <v>1.23</v>
      </c>
      <c r="E78" s="21"/>
      <c r="G78" s="21">
        <v>1</v>
      </c>
      <c r="H78" s="21">
        <v>1</v>
      </c>
      <c r="I78" s="21">
        <v>1</v>
      </c>
      <c r="J78" s="21">
        <v>1</v>
      </c>
      <c r="K78" s="21">
        <v>1</v>
      </c>
    </row>
    <row r="79" spans="3:11" ht="14.25">
      <c r="C79" s="21" t="s">
        <v>28</v>
      </c>
      <c r="D79" s="29">
        <v>1.215</v>
      </c>
      <c r="E79" s="21"/>
      <c r="G79" s="21">
        <v>1</v>
      </c>
      <c r="H79" s="21">
        <v>1</v>
      </c>
      <c r="I79" s="21">
        <v>1</v>
      </c>
      <c r="J79" s="21">
        <v>1</v>
      </c>
      <c r="K79" s="21">
        <v>1</v>
      </c>
    </row>
    <row r="80" spans="3:11" ht="14.25">
      <c r="C80" s="21" t="s">
        <v>41</v>
      </c>
      <c r="D80" s="29">
        <v>1.2</v>
      </c>
      <c r="E80" s="21"/>
      <c r="G80" s="21">
        <v>3</v>
      </c>
      <c r="H80" s="21">
        <v>8</v>
      </c>
      <c r="I80" s="21">
        <v>13</v>
      </c>
      <c r="J80" s="21">
        <v>18</v>
      </c>
      <c r="K80" s="21">
        <v>23</v>
      </c>
    </row>
    <row r="81" spans="5:11" ht="14.25">
      <c r="E81" s="21">
        <f>SUM(E58:E80)</f>
        <v>10</v>
      </c>
      <c r="F81" s="21">
        <f aca="true" t="shared" si="6" ref="F81:K81">SUM(F58:F80)</f>
        <v>15</v>
      </c>
      <c r="G81" s="21">
        <f t="shared" si="6"/>
        <v>20</v>
      </c>
      <c r="H81" s="21">
        <f t="shared" si="6"/>
        <v>25</v>
      </c>
      <c r="I81" s="21">
        <f t="shared" si="6"/>
        <v>30</v>
      </c>
      <c r="J81" s="21">
        <f t="shared" si="6"/>
        <v>35</v>
      </c>
      <c r="K81" s="21">
        <f t="shared" si="6"/>
        <v>40</v>
      </c>
    </row>
    <row r="82" ht="14.25">
      <c r="E82" s="21"/>
    </row>
  </sheetData>
  <sheetProtection/>
  <printOptions/>
  <pageMargins left="0.75" right="0.75" top="1"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60"/>
  <sheetViews>
    <sheetView tabSelected="1" view="pageBreakPreview" zoomScaleSheetLayoutView="100" zoomScalePageLayoutView="0" workbookViewId="0" topLeftCell="A1">
      <selection activeCell="A3" sqref="A3"/>
    </sheetView>
  </sheetViews>
  <sheetFormatPr defaultColWidth="9.625" defaultRowHeight="14.25"/>
  <cols>
    <col min="1" max="1" width="5.125" style="1" customWidth="1"/>
    <col min="2" max="2" width="15.875" style="1" customWidth="1"/>
    <col min="3" max="3" width="12.375" style="1" customWidth="1"/>
    <col min="4" max="8" width="11.25390625" style="1" customWidth="1"/>
    <col min="9" max="9" width="11.875" style="1" customWidth="1"/>
    <col min="10" max="10" width="12.00390625" style="1" customWidth="1"/>
    <col min="11" max="11" width="1.75390625" style="1" customWidth="1"/>
    <col min="12" max="12" width="5.375" style="1" hidden="1" customWidth="1"/>
    <col min="13" max="13" width="15.50390625" style="1" hidden="1" customWidth="1"/>
    <col min="14" max="18" width="15.25390625" style="1" hidden="1" customWidth="1"/>
    <col min="19" max="19" width="3.25390625" style="1" hidden="1" customWidth="1"/>
    <col min="20" max="20" width="4.75390625" style="1" hidden="1" customWidth="1"/>
    <col min="21" max="21" width="15.75390625" style="1" hidden="1" customWidth="1"/>
    <col min="22" max="22" width="12.875" style="1" hidden="1" customWidth="1"/>
    <col min="23" max="23" width="14.625" style="1" hidden="1" customWidth="1"/>
    <col min="24" max="24" width="16.00390625" style="1" hidden="1" customWidth="1"/>
    <col min="25" max="26" width="14.625" style="1" hidden="1" customWidth="1"/>
    <col min="27" max="16384" width="9.625" style="1" customWidth="1"/>
  </cols>
  <sheetData>
    <row r="1" spans="11:19" ht="6" customHeight="1">
      <c r="K1" s="31"/>
      <c r="S1" s="31"/>
    </row>
    <row r="2" spans="2:22" ht="21" customHeight="1">
      <c r="B2" s="2"/>
      <c r="C2" s="2"/>
      <c r="K2" s="31"/>
      <c r="M2" s="2"/>
      <c r="N2" s="2"/>
      <c r="S2" s="31"/>
      <c r="U2" s="2"/>
      <c r="V2" s="2"/>
    </row>
    <row r="3" spans="1:22" ht="13.5">
      <c r="A3" s="3" t="s">
        <v>2</v>
      </c>
      <c r="B3" s="2"/>
      <c r="C3" s="2"/>
      <c r="K3" s="31"/>
      <c r="M3" s="2"/>
      <c r="N3" s="2"/>
      <c r="S3" s="31"/>
      <c r="U3" s="2"/>
      <c r="V3" s="2"/>
    </row>
    <row r="4" spans="2:26" ht="14.25" thickBot="1">
      <c r="B4" s="1">
        <v>1824109</v>
      </c>
      <c r="K4" s="31"/>
      <c r="R4" s="30" t="s">
        <v>57</v>
      </c>
      <c r="S4" s="31"/>
      <c r="Z4" s="30" t="s">
        <v>57</v>
      </c>
    </row>
    <row r="5" spans="1:26" s="4" customFormat="1" ht="15" customHeight="1" thickTop="1">
      <c r="A5" s="82" t="s">
        <v>91</v>
      </c>
      <c r="B5" s="85" t="s">
        <v>94</v>
      </c>
      <c r="C5" s="20" t="s">
        <v>8</v>
      </c>
      <c r="D5" s="87" t="s">
        <v>47</v>
      </c>
      <c r="E5" s="88"/>
      <c r="F5" s="88"/>
      <c r="G5" s="88"/>
      <c r="H5" s="88"/>
      <c r="I5" s="88"/>
      <c r="J5" s="89"/>
      <c r="K5" s="32"/>
      <c r="L5" s="82" t="s">
        <v>1</v>
      </c>
      <c r="M5" s="80" t="s">
        <v>77</v>
      </c>
      <c r="N5" s="20" t="s">
        <v>58</v>
      </c>
      <c r="O5" s="73" t="s">
        <v>59</v>
      </c>
      <c r="P5" s="73" t="s">
        <v>60</v>
      </c>
      <c r="Q5" s="73" t="s">
        <v>61</v>
      </c>
      <c r="R5" s="75" t="s">
        <v>62</v>
      </c>
      <c r="S5" s="32"/>
      <c r="T5" s="82" t="s">
        <v>1</v>
      </c>
      <c r="U5" s="80" t="s">
        <v>77</v>
      </c>
      <c r="V5" s="20" t="s">
        <v>58</v>
      </c>
      <c r="W5" s="77" t="s">
        <v>63</v>
      </c>
      <c r="X5" s="78"/>
      <c r="Y5" s="78"/>
      <c r="Z5" s="79"/>
    </row>
    <row r="6" spans="1:26" s="4" customFormat="1" ht="15" customHeight="1" thickBot="1">
      <c r="A6" s="83"/>
      <c r="B6" s="86"/>
      <c r="C6" s="12" t="s">
        <v>9</v>
      </c>
      <c r="D6" s="5" t="s">
        <v>42</v>
      </c>
      <c r="E6" s="5" t="s">
        <v>43</v>
      </c>
      <c r="F6" s="6" t="s">
        <v>44</v>
      </c>
      <c r="G6" s="6" t="s">
        <v>55</v>
      </c>
      <c r="H6" s="5" t="s">
        <v>45</v>
      </c>
      <c r="I6" s="5" t="s">
        <v>56</v>
      </c>
      <c r="J6" s="7" t="s">
        <v>46</v>
      </c>
      <c r="K6" s="32"/>
      <c r="L6" s="83"/>
      <c r="M6" s="81"/>
      <c r="N6" s="12" t="s">
        <v>64</v>
      </c>
      <c r="O6" s="74"/>
      <c r="P6" s="74"/>
      <c r="Q6" s="74"/>
      <c r="R6" s="76"/>
      <c r="S6" s="32"/>
      <c r="T6" s="83"/>
      <c r="U6" s="81"/>
      <c r="V6" s="12" t="s">
        <v>64</v>
      </c>
      <c r="W6" s="39" t="s">
        <v>65</v>
      </c>
      <c r="X6" s="40" t="s">
        <v>66</v>
      </c>
      <c r="Y6" s="41" t="s">
        <v>67</v>
      </c>
      <c r="Z6" s="42" t="s">
        <v>68</v>
      </c>
    </row>
    <row r="7" spans="1:26" ht="13.5">
      <c r="A7" s="8">
        <v>1</v>
      </c>
      <c r="B7" s="9">
        <v>230000</v>
      </c>
      <c r="C7" s="9">
        <f aca="true" t="shared" si="0" ref="C7:C53">B7*0.09</f>
        <v>20700</v>
      </c>
      <c r="D7" s="9">
        <f>ROUNDDOWN(IF(('20년간40%'!D9+$C$60)&gt;$B7,$B7,('20년간40%'!D9+$C$60)),-1)</f>
        <v>118750</v>
      </c>
      <c r="E7" s="9">
        <f>ROUNDDOWN(IF(('20년간40%'!E9+$C$60)&gt;$B7,$B7,('20년간40%'!E9+$C$60)),-1)</f>
        <v>173310</v>
      </c>
      <c r="F7" s="9">
        <f>ROUNDDOWN(IF(('20년간40%'!F9+$C$60)&gt;$B7,$B7,('20년간40%'!F9+$C$60)),-1)</f>
        <v>225050</v>
      </c>
      <c r="G7" s="9">
        <f>ROUNDDOWN(IF(('20년간40%'!G9+$C$60)&gt;$B7,$B7,('20년간40%'!G9+$C$60)),-1)</f>
        <v>230000</v>
      </c>
      <c r="H7" s="9">
        <f>ROUNDDOWN(IF(('20년간40%'!H9+$C$60)&gt;$B7,$B7,('20년간40%'!H9+$C$60)),-1)</f>
        <v>230000</v>
      </c>
      <c r="I7" s="9">
        <f>ROUNDDOWN(IF(('20년간40%'!I9+$C$60)&gt;$B7,$B7,('20년간40%'!I9+$C$60)),-1)</f>
        <v>230000</v>
      </c>
      <c r="J7" s="57">
        <f>ROUNDDOWN(IF(('20년간40%'!J9+$C$60)&gt;$B7,$B7,('20년간40%'!J9+$C$60)),-1)</f>
        <v>230000</v>
      </c>
      <c r="K7" s="31"/>
      <c r="L7" s="8">
        <v>2</v>
      </c>
      <c r="M7" s="9">
        <v>230000</v>
      </c>
      <c r="N7" s="9">
        <f aca="true" t="shared" si="1" ref="N7:N52">M7*0.09</f>
        <v>20700</v>
      </c>
      <c r="O7" s="14">
        <f aca="true" t="shared" si="2" ref="O7:O32">ROUNDDOWN(IF(((1.8*($B$4+$M7)/12)+$N$60)&gt;$M7,$M7,(1.8*($B$4+$M7)/12)+$N$60),-1)</f>
        <v>230000</v>
      </c>
      <c r="P7" s="14">
        <f aca="true" t="shared" si="3" ref="P7:P32">ROUNDDOWN(IF(((1.8*($B$4+$M7)*0.8/12)+$N$60)&gt;$M7,$M7,(1.8*($B$4+$M7)*0.8/12)+$N$60),-1)</f>
        <v>230000</v>
      </c>
      <c r="Q7" s="14">
        <f aca="true" t="shared" si="4" ref="Q7:Q32">ROUNDDOWN(IF(((1.8*($B$4+$M7)*0.6/12)+$N$60)&gt;$M7,$M7,(1.8*($B$4+$M7)*0.6/12)+$N$60),-1)</f>
        <v>184860</v>
      </c>
      <c r="R7" s="33">
        <f aca="true" t="shared" si="5" ref="R7:R52">ROUNDDOWN(((1.8*($B$4+$M7))*2.25),-1)</f>
        <v>8319140</v>
      </c>
      <c r="S7" s="31"/>
      <c r="T7" s="8">
        <v>2</v>
      </c>
      <c r="U7" s="9">
        <v>230000</v>
      </c>
      <c r="V7" s="9">
        <f aca="true" t="shared" si="6" ref="V7:V52">U7*0.09</f>
        <v>20700</v>
      </c>
      <c r="W7" s="14">
        <f aca="true" t="shared" si="7" ref="W7:W32">ROUNDDOWN(IF((1.8*($B$4+$U7)*0.4/12)+$V$60&gt;$U7,$U7,(1.8*($B$4+$U7)*0.4/12)+$V$60),-1)</f>
        <v>123240</v>
      </c>
      <c r="X7" s="14">
        <f aca="true" t="shared" si="8" ref="X7:X32">ROUNDDOWN(IF((1.8*($B$4+$U7)*0.5/12)+$V$60&gt;$U7,$U7,(1.8*($B$4+$U7)*0.5/12)+$V$60),-1)</f>
        <v>154050</v>
      </c>
      <c r="Y7" s="14">
        <f aca="true" t="shared" si="9" ref="Y7:Y32">ROUNDDOWN(IF((1.8*($B$4+$U7)*0.6/12)+$V$60&gt;$U7,$U7,(1.8*($B$4+$U7)/12)+$V$60),-1)</f>
        <v>308110</v>
      </c>
      <c r="Z7" s="37">
        <f aca="true" t="shared" si="10" ref="Z7:Z32">ROUNDDOWN(IF((1.8*($B$4+$U7)*1.5*0.6/12)+$V$60&gt;$U7,$U7,(1.8*($B$4+$U7)*1.5*0.6/12)+$V$60),-1)</f>
        <v>230000</v>
      </c>
    </row>
    <row r="8" spans="1:26" ht="13.5">
      <c r="A8" s="8">
        <v>2</v>
      </c>
      <c r="B8" s="9">
        <v>240000</v>
      </c>
      <c r="C8" s="9">
        <f t="shared" si="0"/>
        <v>21600</v>
      </c>
      <c r="D8" s="9">
        <f>ROUNDDOWN(IF(('20년간40%'!D10+$C$60)&gt;$B8,$B8,('20년간40%'!D10+$C$60)),-1)</f>
        <v>119330</v>
      </c>
      <c r="E8" s="9">
        <f>ROUNDDOWN(IF(('20년간40%'!E10+$C$60)&gt;$B8,$B8,('20년간40%'!E10+$C$60)),-1)</f>
        <v>174150</v>
      </c>
      <c r="F8" s="9">
        <f>ROUNDDOWN(IF(('20년간40%'!F10+$C$60)&gt;$B8,$B8,('20년간40%'!F10+$C$60)),-1)</f>
        <v>226140</v>
      </c>
      <c r="G8" s="9">
        <f>ROUNDDOWN(IF(('20년간40%'!G10+$C$60)&gt;$B8,$B8,('20년간40%'!G10+$C$60)),-1)</f>
        <v>240000</v>
      </c>
      <c r="H8" s="9">
        <f>ROUNDDOWN(IF(('20년간40%'!H10+$C$60)&gt;$B8,$B8,('20년간40%'!H10+$C$60)),-1)</f>
        <v>240000</v>
      </c>
      <c r="I8" s="9">
        <f>ROUNDDOWN(IF(('20년간40%'!I10+$C$60)&gt;$B8,$B8,('20년간40%'!I10+$C$60)),-1)</f>
        <v>240000</v>
      </c>
      <c r="J8" s="57">
        <f>ROUNDDOWN(IF(('20년간40%'!J10+$C$60)&gt;$B8,$B8,('20년간40%'!J10+$C$60)),-1)</f>
        <v>240000</v>
      </c>
      <c r="K8" s="31"/>
      <c r="L8" s="8">
        <v>3</v>
      </c>
      <c r="M8" s="9">
        <v>240000</v>
      </c>
      <c r="N8" s="9">
        <f t="shared" si="1"/>
        <v>21600</v>
      </c>
      <c r="O8" s="14">
        <f t="shared" si="2"/>
        <v>240000</v>
      </c>
      <c r="P8" s="14">
        <f t="shared" si="3"/>
        <v>240000</v>
      </c>
      <c r="Q8" s="14">
        <f t="shared" si="4"/>
        <v>185760</v>
      </c>
      <c r="R8" s="33">
        <f t="shared" si="5"/>
        <v>8359640</v>
      </c>
      <c r="S8" s="31"/>
      <c r="T8" s="8">
        <v>3</v>
      </c>
      <c r="U8" s="9">
        <v>240000</v>
      </c>
      <c r="V8" s="9">
        <f t="shared" si="6"/>
        <v>21600</v>
      </c>
      <c r="W8" s="14">
        <f t="shared" si="7"/>
        <v>123840</v>
      </c>
      <c r="X8" s="14">
        <f t="shared" si="8"/>
        <v>154800</v>
      </c>
      <c r="Y8" s="14">
        <f t="shared" si="9"/>
        <v>309610</v>
      </c>
      <c r="Z8" s="37">
        <f t="shared" si="10"/>
        <v>240000</v>
      </c>
    </row>
    <row r="9" spans="1:26" ht="13.5">
      <c r="A9" s="8">
        <v>3</v>
      </c>
      <c r="B9" s="9">
        <v>250000</v>
      </c>
      <c r="C9" s="9">
        <f t="shared" si="0"/>
        <v>22500</v>
      </c>
      <c r="D9" s="9">
        <f>ROUNDDOWN(IF(('20년간40%'!D11+$C$60)&gt;$B9,$B9,('20년간40%'!D11+$C$60)),-1)</f>
        <v>119900</v>
      </c>
      <c r="E9" s="9">
        <f>ROUNDDOWN(IF(('20년간40%'!E11+$C$60)&gt;$B9,$B9,('20년간40%'!E11+$C$60)),-1)</f>
        <v>175000</v>
      </c>
      <c r="F9" s="9">
        <f>ROUNDDOWN(IF(('20년간40%'!F11+$C$60)&gt;$B9,$B9,('20년간40%'!F11+$C$60)),-1)</f>
        <v>227240</v>
      </c>
      <c r="G9" s="9">
        <f>ROUNDDOWN(IF(('20년간40%'!G11+$C$60)&gt;$B9,$B9,('20년간40%'!G11+$C$60)),-1)</f>
        <v>250000</v>
      </c>
      <c r="H9" s="9">
        <f>ROUNDDOWN(IF(('20년간40%'!H11+$C$60)&gt;$B9,$B9,('20년간40%'!H11+$C$60)),-1)</f>
        <v>250000</v>
      </c>
      <c r="I9" s="9">
        <f>ROUNDDOWN(IF(('20년간40%'!I11+$C$60)&gt;$B9,$B9,('20년간40%'!I11+$C$60)),-1)</f>
        <v>250000</v>
      </c>
      <c r="J9" s="57">
        <f>ROUNDDOWN(IF(('20년간40%'!J11+$C$60)&gt;$B9,$B9,('20년간40%'!J11+$C$60)),-1)</f>
        <v>250000</v>
      </c>
      <c r="K9" s="31"/>
      <c r="L9" s="8">
        <v>4</v>
      </c>
      <c r="M9" s="9">
        <v>250000</v>
      </c>
      <c r="N9" s="9">
        <f t="shared" si="1"/>
        <v>22500</v>
      </c>
      <c r="O9" s="14">
        <f t="shared" si="2"/>
        <v>250000</v>
      </c>
      <c r="P9" s="14">
        <f t="shared" si="3"/>
        <v>248890</v>
      </c>
      <c r="Q9" s="14">
        <f t="shared" si="4"/>
        <v>186660</v>
      </c>
      <c r="R9" s="33">
        <f t="shared" si="5"/>
        <v>8400140</v>
      </c>
      <c r="S9" s="31"/>
      <c r="T9" s="8">
        <v>4</v>
      </c>
      <c r="U9" s="9">
        <v>250000</v>
      </c>
      <c r="V9" s="9">
        <f t="shared" si="6"/>
        <v>22500</v>
      </c>
      <c r="W9" s="14">
        <f t="shared" si="7"/>
        <v>124440</v>
      </c>
      <c r="X9" s="14">
        <f t="shared" si="8"/>
        <v>155550</v>
      </c>
      <c r="Y9" s="14">
        <f t="shared" si="9"/>
        <v>311110</v>
      </c>
      <c r="Z9" s="37">
        <f t="shared" si="10"/>
        <v>250000</v>
      </c>
    </row>
    <row r="10" spans="1:26" s="31" customFormat="1" ht="13.5">
      <c r="A10" s="47">
        <v>4</v>
      </c>
      <c r="B10" s="48">
        <v>260000</v>
      </c>
      <c r="C10" s="48">
        <f t="shared" si="0"/>
        <v>23400</v>
      </c>
      <c r="D10" s="48">
        <f>ROUNDDOWN(IF(('20년간40%'!D12+$C$60)&gt;$B10,$B10,('20년간40%'!D12+$C$60)),-1)</f>
        <v>120480</v>
      </c>
      <c r="E10" s="48">
        <f>ROUNDDOWN(IF(('20년간40%'!E12+$C$60)&gt;$B10,$B10,('20년간40%'!E12+$C$60)),-1)</f>
        <v>175840</v>
      </c>
      <c r="F10" s="48">
        <f>ROUNDDOWN(IF(('20년간40%'!F12+$C$60)&gt;$B10,$B10,('20년간40%'!F12+$C$60)),-1)</f>
        <v>228340</v>
      </c>
      <c r="G10" s="48">
        <f>ROUNDDOWN(IF(('20년간40%'!G12+$C$60)&gt;$B10,$B10,('20년간40%'!G12+$C$60)),-1)</f>
        <v>260000</v>
      </c>
      <c r="H10" s="48">
        <f>ROUNDDOWN(IF(('20년간40%'!H12+$C$60)&gt;$B10,$B10,('20년간40%'!H12+$C$60)),-1)</f>
        <v>260000</v>
      </c>
      <c r="I10" s="48">
        <f>ROUNDDOWN(IF(('20년간40%'!I12+$C$60)&gt;$B10,$B10,('20년간40%'!I12+$C$60)),-1)</f>
        <v>260000</v>
      </c>
      <c r="J10" s="58">
        <f>ROUNDDOWN(IF(('20년간40%'!J12+$C$60)&gt;$B10,$B10,('20년간40%'!J12+$C$60)),-1)</f>
        <v>260000</v>
      </c>
      <c r="L10" s="47">
        <v>5</v>
      </c>
      <c r="M10" s="48">
        <v>260000</v>
      </c>
      <c r="N10" s="48">
        <f t="shared" si="1"/>
        <v>23400</v>
      </c>
      <c r="O10" s="48">
        <f t="shared" si="2"/>
        <v>260000</v>
      </c>
      <c r="P10" s="48">
        <f t="shared" si="3"/>
        <v>250090</v>
      </c>
      <c r="Q10" s="48">
        <f t="shared" si="4"/>
        <v>187560</v>
      </c>
      <c r="R10" s="66">
        <f t="shared" si="5"/>
        <v>8440640</v>
      </c>
      <c r="T10" s="47">
        <v>5</v>
      </c>
      <c r="U10" s="48">
        <v>260000</v>
      </c>
      <c r="V10" s="48">
        <f t="shared" si="6"/>
        <v>23400</v>
      </c>
      <c r="W10" s="48">
        <f t="shared" si="7"/>
        <v>125040</v>
      </c>
      <c r="X10" s="48">
        <f t="shared" si="8"/>
        <v>156300</v>
      </c>
      <c r="Y10" s="48">
        <f t="shared" si="9"/>
        <v>312610</v>
      </c>
      <c r="Z10" s="58">
        <f t="shared" si="10"/>
        <v>260000</v>
      </c>
    </row>
    <row r="11" spans="1:26" ht="13.5">
      <c r="A11" s="13">
        <v>5</v>
      </c>
      <c r="B11" s="14">
        <v>270000</v>
      </c>
      <c r="C11" s="14">
        <f t="shared" si="0"/>
        <v>24300</v>
      </c>
      <c r="D11" s="14">
        <f>ROUNDDOWN(IF(('20년간40%'!D13+$C$60)&gt;$B11,$B11,('20년간40%'!D13+$C$60)),-1)</f>
        <v>121060</v>
      </c>
      <c r="E11" s="14">
        <f>ROUNDDOWN(IF(('20년간40%'!E13+$C$60)&gt;$B11,$B11,('20년간40%'!E13+$C$60)),-1)</f>
        <v>176690</v>
      </c>
      <c r="F11" s="14">
        <f>ROUNDDOWN(IF(('20년간40%'!F13+$C$60)&gt;$B11,$B11,('20년간40%'!F13+$C$60)),-1)</f>
        <v>229430</v>
      </c>
      <c r="G11" s="14">
        <f>ROUNDDOWN(IF(('20년간40%'!G13+$C$60)&gt;$B11,$B11,('20년간40%'!G13+$C$60)),-1)</f>
        <v>270000</v>
      </c>
      <c r="H11" s="14">
        <f>ROUNDDOWN(IF(('20년간40%'!H13+$C$60)&gt;$B11,$B11,('20년간40%'!H13+$C$60)),-1)</f>
        <v>270000</v>
      </c>
      <c r="I11" s="14">
        <f>ROUNDDOWN(IF(('20년간40%'!I13+$C$60)&gt;$B11,$B11,('20년간40%'!I13+$C$60)),-1)</f>
        <v>270000</v>
      </c>
      <c r="J11" s="37">
        <f>ROUNDDOWN(IF(('20년간40%'!J13+$C$60)&gt;$B11,$B11,('20년간40%'!J13+$C$60)),-1)</f>
        <v>270000</v>
      </c>
      <c r="K11" s="31"/>
      <c r="L11" s="8">
        <v>6</v>
      </c>
      <c r="M11" s="9">
        <v>270000</v>
      </c>
      <c r="N11" s="9">
        <f t="shared" si="1"/>
        <v>24300</v>
      </c>
      <c r="O11" s="14">
        <f t="shared" si="2"/>
        <v>270000</v>
      </c>
      <c r="P11" s="14">
        <f t="shared" si="3"/>
        <v>251290</v>
      </c>
      <c r="Q11" s="14">
        <f t="shared" si="4"/>
        <v>188460</v>
      </c>
      <c r="R11" s="33">
        <f t="shared" si="5"/>
        <v>8481140</v>
      </c>
      <c r="S11" s="31"/>
      <c r="T11" s="8">
        <v>6</v>
      </c>
      <c r="U11" s="9">
        <v>270000</v>
      </c>
      <c r="V11" s="9">
        <f t="shared" si="6"/>
        <v>24300</v>
      </c>
      <c r="W11" s="14">
        <f t="shared" si="7"/>
        <v>125640</v>
      </c>
      <c r="X11" s="14">
        <f t="shared" si="8"/>
        <v>157050</v>
      </c>
      <c r="Y11" s="14">
        <f t="shared" si="9"/>
        <v>314110</v>
      </c>
      <c r="Z11" s="37">
        <f t="shared" si="10"/>
        <v>270000</v>
      </c>
    </row>
    <row r="12" spans="1:26" ht="13.5">
      <c r="A12" s="8">
        <v>6</v>
      </c>
      <c r="B12" s="9">
        <v>290000</v>
      </c>
      <c r="C12" s="9">
        <f t="shared" si="0"/>
        <v>26100</v>
      </c>
      <c r="D12" s="9">
        <f>ROUNDDOWN(IF(('20년간40%'!D14+$C$60)&gt;$B12,$B12,('20년간40%'!D14+$C$60)),-1)</f>
        <v>122220</v>
      </c>
      <c r="E12" s="9">
        <f>ROUNDDOWN(IF(('20년간40%'!E14+$C$60)&gt;$B12,$B12,('20년간40%'!E14+$C$60)),-1)</f>
        <v>178370</v>
      </c>
      <c r="F12" s="9">
        <f>ROUNDDOWN(IF(('20년간40%'!F14+$C$60)&gt;$B12,$B12,('20년간40%'!F14+$C$60)),-1)</f>
        <v>231620</v>
      </c>
      <c r="G12" s="9">
        <f>ROUNDDOWN(IF(('20년간40%'!G14+$C$60)&gt;$B12,$B12,('20년간40%'!G14+$C$60)),-1)</f>
        <v>284470</v>
      </c>
      <c r="H12" s="9">
        <f>ROUNDDOWN(IF(('20년간40%'!H14+$C$60)&gt;$B12,$B12,('20년간40%'!H14+$C$60)),-1)</f>
        <v>290000</v>
      </c>
      <c r="I12" s="9">
        <f>ROUNDDOWN(IF(('20년간40%'!I14+$C$60)&gt;$B12,$B12,('20년간40%'!I14+$C$60)),-1)</f>
        <v>290000</v>
      </c>
      <c r="J12" s="57">
        <f>ROUNDDOWN(IF(('20년간40%'!J14+$C$60)&gt;$B12,$B12,('20년간40%'!J14+$C$60)),-1)</f>
        <v>290000</v>
      </c>
      <c r="K12" s="31"/>
      <c r="L12" s="8">
        <v>7</v>
      </c>
      <c r="M12" s="9">
        <v>290000</v>
      </c>
      <c r="N12" s="9">
        <f t="shared" si="1"/>
        <v>26100</v>
      </c>
      <c r="O12" s="14">
        <f t="shared" si="2"/>
        <v>290000</v>
      </c>
      <c r="P12" s="14">
        <f t="shared" si="3"/>
        <v>253690</v>
      </c>
      <c r="Q12" s="14">
        <f t="shared" si="4"/>
        <v>190260</v>
      </c>
      <c r="R12" s="33">
        <f t="shared" si="5"/>
        <v>8562140</v>
      </c>
      <c r="S12" s="31"/>
      <c r="T12" s="8">
        <v>7</v>
      </c>
      <c r="U12" s="9">
        <v>290000</v>
      </c>
      <c r="V12" s="9">
        <f t="shared" si="6"/>
        <v>26100</v>
      </c>
      <c r="W12" s="14">
        <f t="shared" si="7"/>
        <v>126840</v>
      </c>
      <c r="X12" s="14">
        <f t="shared" si="8"/>
        <v>158550</v>
      </c>
      <c r="Y12" s="14">
        <f t="shared" si="9"/>
        <v>317110</v>
      </c>
      <c r="Z12" s="37">
        <f t="shared" si="10"/>
        <v>285400</v>
      </c>
    </row>
    <row r="13" spans="1:26" ht="13.5">
      <c r="A13" s="8">
        <v>7</v>
      </c>
      <c r="B13" s="9">
        <v>310000</v>
      </c>
      <c r="C13" s="9">
        <f t="shared" si="0"/>
        <v>27900</v>
      </c>
      <c r="D13" s="9">
        <f>ROUNDDOWN(IF(('20년간40%'!D15+$C$60)&gt;$B13,$B13,('20년간40%'!D15+$C$60)),-1)</f>
        <v>123370</v>
      </c>
      <c r="E13" s="9">
        <f>ROUNDDOWN(IF(('20년간40%'!E15+$C$60)&gt;$B13,$B13,('20년간40%'!E15+$C$60)),-1)</f>
        <v>180060</v>
      </c>
      <c r="F13" s="9">
        <f>ROUNDDOWN(IF(('20년간40%'!F15+$C$60)&gt;$B13,$B13,('20년간40%'!F15+$C$60)),-1)</f>
        <v>233810</v>
      </c>
      <c r="G13" s="9">
        <f>ROUNDDOWN(IF(('20년간40%'!G15+$C$60)&gt;$B13,$B13,('20년간40%'!G15+$C$60)),-1)</f>
        <v>287170</v>
      </c>
      <c r="H13" s="9">
        <f>ROUNDDOWN(IF(('20년간40%'!H15+$C$60)&gt;$B13,$B13,('20년간40%'!H15+$C$60)),-1)</f>
        <v>310000</v>
      </c>
      <c r="I13" s="9">
        <f>ROUNDDOWN(IF(('20년간40%'!I15+$C$60)&gt;$B13,$B13,('20년간40%'!I15+$C$60)),-1)</f>
        <v>310000</v>
      </c>
      <c r="J13" s="57">
        <f>ROUNDDOWN(IF(('20년간40%'!J15+$C$60)&gt;$B13,$B13,('20년간40%'!J15+$C$60)),-1)</f>
        <v>310000</v>
      </c>
      <c r="K13" s="31"/>
      <c r="L13" s="8">
        <v>8</v>
      </c>
      <c r="M13" s="9">
        <v>310000</v>
      </c>
      <c r="N13" s="9">
        <f t="shared" si="1"/>
        <v>27900</v>
      </c>
      <c r="O13" s="14">
        <f t="shared" si="2"/>
        <v>310000</v>
      </c>
      <c r="P13" s="14">
        <f t="shared" si="3"/>
        <v>256090</v>
      </c>
      <c r="Q13" s="14">
        <f t="shared" si="4"/>
        <v>192060</v>
      </c>
      <c r="R13" s="33">
        <f t="shared" si="5"/>
        <v>8643140</v>
      </c>
      <c r="S13" s="31"/>
      <c r="T13" s="8">
        <v>8</v>
      </c>
      <c r="U13" s="9">
        <v>310000</v>
      </c>
      <c r="V13" s="9">
        <f t="shared" si="6"/>
        <v>27900</v>
      </c>
      <c r="W13" s="14">
        <f t="shared" si="7"/>
        <v>128040</v>
      </c>
      <c r="X13" s="14">
        <f t="shared" si="8"/>
        <v>160050</v>
      </c>
      <c r="Y13" s="14">
        <f t="shared" si="9"/>
        <v>320110</v>
      </c>
      <c r="Z13" s="37">
        <f t="shared" si="10"/>
        <v>288100</v>
      </c>
    </row>
    <row r="14" spans="1:26" ht="13.5">
      <c r="A14" s="8">
        <v>8</v>
      </c>
      <c r="B14" s="9">
        <v>340000</v>
      </c>
      <c r="C14" s="9">
        <f t="shared" si="0"/>
        <v>30600</v>
      </c>
      <c r="D14" s="9">
        <f>ROUNDDOWN(IF(('20년간40%'!D16+$C$60)&gt;$B14,$B14,('20년간40%'!D16+$C$60)),-1)</f>
        <v>125110</v>
      </c>
      <c r="E14" s="9">
        <f>ROUNDDOWN(IF(('20년간40%'!E16+$C$60)&gt;$B14,$B14,('20년간40%'!E16+$C$60)),-1)</f>
        <v>182590</v>
      </c>
      <c r="F14" s="9">
        <f>ROUNDDOWN(IF(('20년간40%'!F16+$C$60)&gt;$B14,$B14,('20년간40%'!F16+$C$60)),-1)</f>
        <v>237100</v>
      </c>
      <c r="G14" s="9">
        <f>ROUNDDOWN(IF(('20년간40%'!G16+$C$60)&gt;$B14,$B14,('20년간40%'!G16+$C$60)),-1)</f>
        <v>291200</v>
      </c>
      <c r="H14" s="9">
        <f>ROUNDDOWN(IF(('20년간40%'!H16+$C$60)&gt;$B14,$B14,('20년간40%'!H16+$C$60)),-1)</f>
        <v>340000</v>
      </c>
      <c r="I14" s="9">
        <f>ROUNDDOWN(IF(('20년간40%'!I16+$C$60)&gt;$B14,$B14,('20년간40%'!I16+$C$60)),-1)</f>
        <v>340000</v>
      </c>
      <c r="J14" s="57">
        <f>ROUNDDOWN(IF(('20년간40%'!J16+$C$60)&gt;$B14,$B14,('20년간40%'!J16+$C$60)),-1)</f>
        <v>340000</v>
      </c>
      <c r="K14" s="31"/>
      <c r="L14" s="8">
        <v>9</v>
      </c>
      <c r="M14" s="9">
        <v>340000</v>
      </c>
      <c r="N14" s="9">
        <f t="shared" si="1"/>
        <v>30600</v>
      </c>
      <c r="O14" s="14">
        <f t="shared" si="2"/>
        <v>324610</v>
      </c>
      <c r="P14" s="14">
        <f t="shared" si="3"/>
        <v>259690</v>
      </c>
      <c r="Q14" s="14">
        <f t="shared" si="4"/>
        <v>194760</v>
      </c>
      <c r="R14" s="33">
        <f t="shared" si="5"/>
        <v>8764640</v>
      </c>
      <c r="S14" s="31"/>
      <c r="T14" s="8">
        <v>9</v>
      </c>
      <c r="U14" s="9">
        <v>340000</v>
      </c>
      <c r="V14" s="9">
        <f t="shared" si="6"/>
        <v>30600</v>
      </c>
      <c r="W14" s="14">
        <f t="shared" si="7"/>
        <v>129840</v>
      </c>
      <c r="X14" s="14">
        <f t="shared" si="8"/>
        <v>162300</v>
      </c>
      <c r="Y14" s="14">
        <f t="shared" si="9"/>
        <v>324610</v>
      </c>
      <c r="Z14" s="37">
        <f t="shared" si="10"/>
        <v>292150</v>
      </c>
    </row>
    <row r="15" spans="1:26" s="31" customFormat="1" ht="13.5">
      <c r="A15" s="47">
        <v>9</v>
      </c>
      <c r="B15" s="48">
        <v>370000</v>
      </c>
      <c r="C15" s="48">
        <f t="shared" si="0"/>
        <v>33300</v>
      </c>
      <c r="D15" s="48">
        <f>ROUNDDOWN(IF(('20년간40%'!D17+$C$60)&gt;$B15,$B15,('20년간40%'!D17+$C$60)),-1)</f>
        <v>126840</v>
      </c>
      <c r="E15" s="48">
        <f>ROUNDDOWN(IF(('20년간40%'!E17+$C$60)&gt;$B15,$B15,('20년간40%'!E17+$C$60)),-1)</f>
        <v>185120</v>
      </c>
      <c r="F15" s="48">
        <f>ROUNDDOWN(IF(('20년간40%'!F17+$C$60)&gt;$B15,$B15,('20년간40%'!F17+$C$60)),-1)</f>
        <v>240390</v>
      </c>
      <c r="G15" s="48">
        <f>ROUNDDOWN(IF(('20년간40%'!G17+$C$60)&gt;$B15,$B15,('20년간40%'!G17+$C$60)),-1)</f>
        <v>295240</v>
      </c>
      <c r="H15" s="48">
        <f>ROUNDDOWN(IF(('20년간40%'!H17+$C$60)&gt;$B15,$B15,('20년간40%'!H17+$C$60)),-1)</f>
        <v>350090</v>
      </c>
      <c r="I15" s="48">
        <f>ROUNDDOWN(IF(('20년간40%'!I17+$C$60)&gt;$B15,$B15,('20년간40%'!I17+$C$60)),-1)</f>
        <v>370000</v>
      </c>
      <c r="J15" s="58">
        <f>ROUNDDOWN(IF(('20년간40%'!J17+$C$60)&gt;$B15,$B15,('20년간40%'!J17+$C$60)),-1)</f>
        <v>370000</v>
      </c>
      <c r="L15" s="47">
        <v>10</v>
      </c>
      <c r="M15" s="48">
        <v>370000</v>
      </c>
      <c r="N15" s="48">
        <f t="shared" si="1"/>
        <v>33300</v>
      </c>
      <c r="O15" s="48">
        <f t="shared" si="2"/>
        <v>329110</v>
      </c>
      <c r="P15" s="48">
        <f t="shared" si="3"/>
        <v>263290</v>
      </c>
      <c r="Q15" s="48">
        <f t="shared" si="4"/>
        <v>197460</v>
      </c>
      <c r="R15" s="66">
        <f t="shared" si="5"/>
        <v>8886140</v>
      </c>
      <c r="T15" s="47">
        <v>10</v>
      </c>
      <c r="U15" s="48">
        <v>370000</v>
      </c>
      <c r="V15" s="48">
        <f t="shared" si="6"/>
        <v>33300</v>
      </c>
      <c r="W15" s="48">
        <f t="shared" si="7"/>
        <v>131640</v>
      </c>
      <c r="X15" s="48">
        <f t="shared" si="8"/>
        <v>164550</v>
      </c>
      <c r="Y15" s="48">
        <f t="shared" si="9"/>
        <v>329110</v>
      </c>
      <c r="Z15" s="58">
        <f t="shared" si="10"/>
        <v>296200</v>
      </c>
    </row>
    <row r="16" spans="1:26" ht="13.5">
      <c r="A16" s="13">
        <v>10</v>
      </c>
      <c r="B16" s="14">
        <v>400000</v>
      </c>
      <c r="C16" s="14">
        <f t="shared" si="0"/>
        <v>36000</v>
      </c>
      <c r="D16" s="14">
        <f>ROUNDDOWN(IF(('20년간40%'!D18+$C$60)&gt;$B16,$B16,('20년간40%'!D18+$C$60)),-1)</f>
        <v>128580</v>
      </c>
      <c r="E16" s="14">
        <f>ROUNDDOWN(IF(('20년간40%'!E18+$C$60)&gt;$B16,$B16,('20년간40%'!E18+$C$60)),-1)</f>
        <v>187650</v>
      </c>
      <c r="F16" s="14">
        <f>ROUNDDOWN(IF(('20년간40%'!F18+$C$60)&gt;$B16,$B16,('20년간40%'!F18+$C$60)),-1)</f>
        <v>243670</v>
      </c>
      <c r="G16" s="14">
        <f>ROUNDDOWN(IF(('20년간40%'!G18+$C$60)&gt;$B16,$B16,('20년간40%'!G18+$C$60)),-1)</f>
        <v>299280</v>
      </c>
      <c r="H16" s="14">
        <f>ROUNDDOWN(IF(('20년간40%'!H18+$C$60)&gt;$B16,$B16,('20년간40%'!H18+$C$60)),-1)</f>
        <v>354880</v>
      </c>
      <c r="I16" s="14">
        <f>ROUNDDOWN(IF(('20년간40%'!I18+$C$60)&gt;$B16,$B16,('20년간40%'!I18+$C$60)),-1)</f>
        <v>400000</v>
      </c>
      <c r="J16" s="37">
        <f>ROUNDDOWN(IF(('20년간40%'!J18+$C$60)&gt;$B16,$B16,('20년간40%'!J18+$C$60)),-1)</f>
        <v>400000</v>
      </c>
      <c r="K16" s="31"/>
      <c r="L16" s="8">
        <v>11</v>
      </c>
      <c r="M16" s="9">
        <v>400000</v>
      </c>
      <c r="N16" s="9">
        <f t="shared" si="1"/>
        <v>36000</v>
      </c>
      <c r="O16" s="14">
        <f t="shared" si="2"/>
        <v>333610</v>
      </c>
      <c r="P16" s="14">
        <f t="shared" si="3"/>
        <v>266890</v>
      </c>
      <c r="Q16" s="14">
        <f t="shared" si="4"/>
        <v>200160</v>
      </c>
      <c r="R16" s="33">
        <f t="shared" si="5"/>
        <v>9007640</v>
      </c>
      <c r="S16" s="31"/>
      <c r="T16" s="8">
        <v>11</v>
      </c>
      <c r="U16" s="9">
        <v>400000</v>
      </c>
      <c r="V16" s="9">
        <f t="shared" si="6"/>
        <v>36000</v>
      </c>
      <c r="W16" s="14">
        <f t="shared" si="7"/>
        <v>133440</v>
      </c>
      <c r="X16" s="14">
        <f t="shared" si="8"/>
        <v>166800</v>
      </c>
      <c r="Y16" s="14">
        <f t="shared" si="9"/>
        <v>333610</v>
      </c>
      <c r="Z16" s="37">
        <f t="shared" si="10"/>
        <v>300250</v>
      </c>
    </row>
    <row r="17" spans="1:26" ht="13.5">
      <c r="A17" s="8">
        <v>11</v>
      </c>
      <c r="B17" s="9">
        <v>440000</v>
      </c>
      <c r="C17" s="9">
        <f t="shared" si="0"/>
        <v>39600</v>
      </c>
      <c r="D17" s="9">
        <f>ROUNDDOWN(IF(('20년간40%'!D19+$C$60)&gt;$B17,$B17,('20년간40%'!D19+$C$60)),-1)</f>
        <v>130890</v>
      </c>
      <c r="E17" s="9">
        <f>ROUNDDOWN(IF(('20년간40%'!E19+$C$60)&gt;$B17,$B17,('20년간40%'!E19+$C$60)),-1)</f>
        <v>191030</v>
      </c>
      <c r="F17" s="9">
        <f>ROUNDDOWN(IF(('20년간40%'!F19+$C$60)&gt;$B17,$B17,('20년간40%'!F19+$C$60)),-1)</f>
        <v>248060</v>
      </c>
      <c r="G17" s="9">
        <f>ROUNDDOWN(IF(('20년간40%'!G19+$C$60)&gt;$B17,$B17,('20년간40%'!G19+$C$60)),-1)</f>
        <v>304660</v>
      </c>
      <c r="H17" s="9">
        <f>ROUNDDOWN(IF(('20년간40%'!H19+$C$60)&gt;$B17,$B17,('20년간40%'!H19+$C$60)),-1)</f>
        <v>361260</v>
      </c>
      <c r="I17" s="9">
        <f>ROUNDDOWN(IF(('20년간40%'!I19+$C$60)&gt;$B17,$B17,('20년간40%'!I19+$C$60)),-1)</f>
        <v>417860</v>
      </c>
      <c r="J17" s="57">
        <f>ROUNDDOWN(IF(('20년간40%'!J19+$C$60)&gt;$B17,$B17,('20년간40%'!J19+$C$60)),-1)</f>
        <v>440000</v>
      </c>
      <c r="K17" s="31"/>
      <c r="L17" s="8">
        <v>12</v>
      </c>
      <c r="M17" s="9">
        <v>440000</v>
      </c>
      <c r="N17" s="9">
        <f t="shared" si="1"/>
        <v>39600</v>
      </c>
      <c r="O17" s="14">
        <f t="shared" si="2"/>
        <v>339610</v>
      </c>
      <c r="P17" s="14">
        <f t="shared" si="3"/>
        <v>271690</v>
      </c>
      <c r="Q17" s="14">
        <f t="shared" si="4"/>
        <v>203760</v>
      </c>
      <c r="R17" s="33">
        <f t="shared" si="5"/>
        <v>9169640</v>
      </c>
      <c r="S17" s="31"/>
      <c r="T17" s="8">
        <v>12</v>
      </c>
      <c r="U17" s="9">
        <v>440000</v>
      </c>
      <c r="V17" s="9">
        <f t="shared" si="6"/>
        <v>39600</v>
      </c>
      <c r="W17" s="14">
        <f t="shared" si="7"/>
        <v>135840</v>
      </c>
      <c r="X17" s="14">
        <f t="shared" si="8"/>
        <v>169800</v>
      </c>
      <c r="Y17" s="14">
        <f t="shared" si="9"/>
        <v>339610</v>
      </c>
      <c r="Z17" s="37">
        <f t="shared" si="10"/>
        <v>305650</v>
      </c>
    </row>
    <row r="18" spans="1:26" ht="13.5">
      <c r="A18" s="8">
        <v>12</v>
      </c>
      <c r="B18" s="9">
        <v>480000</v>
      </c>
      <c r="C18" s="9">
        <f t="shared" si="0"/>
        <v>43200</v>
      </c>
      <c r="D18" s="9">
        <f>ROUNDDOWN(IF(('20년간40%'!D20+$C$60)&gt;$B18,$B18,('20년간40%'!D20+$C$60)),-1)</f>
        <v>133200</v>
      </c>
      <c r="E18" s="9">
        <f>ROUNDDOWN(IF(('20년간40%'!E20+$C$60)&gt;$B18,$B18,('20년간40%'!E20+$C$60)),-1)</f>
        <v>194400</v>
      </c>
      <c r="F18" s="9">
        <f>ROUNDDOWN(IF(('20년간40%'!F20+$C$60)&gt;$B18,$B18,('20년간40%'!F20+$C$60)),-1)</f>
        <v>252440</v>
      </c>
      <c r="G18" s="9">
        <f>ROUNDDOWN(IF(('20년간40%'!G20+$C$60)&gt;$B18,$B18,('20년간40%'!G20+$C$60)),-1)</f>
        <v>310040</v>
      </c>
      <c r="H18" s="9">
        <f>ROUNDDOWN(IF(('20년간40%'!H20+$C$60)&gt;$B18,$B18,('20년간40%'!H20+$C$60)),-1)</f>
        <v>367640</v>
      </c>
      <c r="I18" s="9">
        <f>ROUNDDOWN(IF(('20년간40%'!I20+$C$60)&gt;$B18,$B18,('20년간40%'!I20+$C$60)),-1)</f>
        <v>425250</v>
      </c>
      <c r="J18" s="57">
        <f>ROUNDDOWN(IF(('20년간40%'!J20+$C$60)&gt;$B18,$B18,('20년간40%'!J20+$C$60)),-1)</f>
        <v>480000</v>
      </c>
      <c r="K18" s="31"/>
      <c r="L18" s="8">
        <v>13</v>
      </c>
      <c r="M18" s="9">
        <v>480000</v>
      </c>
      <c r="N18" s="9">
        <f t="shared" si="1"/>
        <v>43200</v>
      </c>
      <c r="O18" s="14">
        <f t="shared" si="2"/>
        <v>345610</v>
      </c>
      <c r="P18" s="14">
        <f t="shared" si="3"/>
        <v>276490</v>
      </c>
      <c r="Q18" s="14">
        <f t="shared" si="4"/>
        <v>207360</v>
      </c>
      <c r="R18" s="33">
        <f t="shared" si="5"/>
        <v>9331640</v>
      </c>
      <c r="S18" s="31"/>
      <c r="T18" s="8">
        <v>13</v>
      </c>
      <c r="U18" s="9">
        <v>480000</v>
      </c>
      <c r="V18" s="9">
        <f t="shared" si="6"/>
        <v>43200</v>
      </c>
      <c r="W18" s="14">
        <f t="shared" si="7"/>
        <v>138240</v>
      </c>
      <c r="X18" s="14">
        <f t="shared" si="8"/>
        <v>172800</v>
      </c>
      <c r="Y18" s="14">
        <f t="shared" si="9"/>
        <v>345610</v>
      </c>
      <c r="Z18" s="37">
        <f t="shared" si="10"/>
        <v>311050</v>
      </c>
    </row>
    <row r="19" spans="1:26" ht="13.5">
      <c r="A19" s="8">
        <v>13</v>
      </c>
      <c r="B19" s="9">
        <v>520000</v>
      </c>
      <c r="C19" s="9">
        <f t="shared" si="0"/>
        <v>46800</v>
      </c>
      <c r="D19" s="9">
        <f>ROUNDDOWN(IF(('20년간40%'!D21+$C$60)&gt;$B19,$B19,('20년간40%'!D21+$C$60)),-1)</f>
        <v>135510</v>
      </c>
      <c r="E19" s="9">
        <f>ROUNDDOWN(IF(('20년간40%'!E21+$C$60)&gt;$B19,$B19,('20년간40%'!E21+$C$60)),-1)</f>
        <v>197780</v>
      </c>
      <c r="F19" s="9">
        <f>ROUNDDOWN(IF(('20년간40%'!F21+$C$60)&gt;$B19,$B19,('20년간40%'!F21+$C$60)),-1)</f>
        <v>256820</v>
      </c>
      <c r="G19" s="9">
        <f>ROUNDDOWN(IF(('20년간40%'!G21+$C$60)&gt;$B19,$B19,('20년간40%'!G21+$C$60)),-1)</f>
        <v>315420</v>
      </c>
      <c r="H19" s="9">
        <f>ROUNDDOWN(IF(('20년간40%'!H21+$C$60)&gt;$B19,$B19,('20년간40%'!H21+$C$60)),-1)</f>
        <v>374030</v>
      </c>
      <c r="I19" s="9">
        <f>ROUNDDOWN(IF(('20년간40%'!I21+$C$60)&gt;$B19,$B19,('20년간40%'!I21+$C$60)),-1)</f>
        <v>432630</v>
      </c>
      <c r="J19" s="57">
        <f>ROUNDDOWN(IF(('20년간40%'!J21+$C$60)&gt;$B19,$B19,('20년간40%'!J21+$C$60)),-1)</f>
        <v>491230</v>
      </c>
      <c r="K19" s="31"/>
      <c r="L19" s="8">
        <v>14</v>
      </c>
      <c r="M19" s="9">
        <v>520000</v>
      </c>
      <c r="N19" s="9">
        <f t="shared" si="1"/>
        <v>46800</v>
      </c>
      <c r="O19" s="14">
        <f t="shared" si="2"/>
        <v>351610</v>
      </c>
      <c r="P19" s="14">
        <f t="shared" si="3"/>
        <v>281290</v>
      </c>
      <c r="Q19" s="14">
        <f t="shared" si="4"/>
        <v>210960</v>
      </c>
      <c r="R19" s="33">
        <f t="shared" si="5"/>
        <v>9493640</v>
      </c>
      <c r="S19" s="31"/>
      <c r="T19" s="8">
        <v>14</v>
      </c>
      <c r="U19" s="9">
        <v>520000</v>
      </c>
      <c r="V19" s="9">
        <f t="shared" si="6"/>
        <v>46800</v>
      </c>
      <c r="W19" s="14">
        <f t="shared" si="7"/>
        <v>140640</v>
      </c>
      <c r="X19" s="14">
        <f t="shared" si="8"/>
        <v>175800</v>
      </c>
      <c r="Y19" s="14">
        <f t="shared" si="9"/>
        <v>351610</v>
      </c>
      <c r="Z19" s="37">
        <f t="shared" si="10"/>
        <v>316450</v>
      </c>
    </row>
    <row r="20" spans="1:26" s="31" customFormat="1" ht="13.5">
      <c r="A20" s="47">
        <v>14</v>
      </c>
      <c r="B20" s="48">
        <v>570000</v>
      </c>
      <c r="C20" s="48">
        <f t="shared" si="0"/>
        <v>51300</v>
      </c>
      <c r="D20" s="48">
        <f>ROUNDDOWN(IF(('20년간40%'!D22+$C$60)&gt;$B20,$B20,('20년간40%'!D22+$C$60)),-1)</f>
        <v>138400</v>
      </c>
      <c r="E20" s="48">
        <f>ROUNDDOWN(IF(('20년간40%'!E22+$C$60)&gt;$B20,$B20,('20년간40%'!E22+$C$60)),-1)</f>
        <v>202000</v>
      </c>
      <c r="F20" s="48">
        <f>ROUNDDOWN(IF(('20년간40%'!F22+$C$60)&gt;$B20,$B20,('20년간40%'!F22+$C$60)),-1)</f>
        <v>262300</v>
      </c>
      <c r="G20" s="48">
        <f>ROUNDDOWN(IF(('20년간40%'!G22+$C$60)&gt;$B20,$B20,('20년간40%'!G22+$C$60)),-1)</f>
        <v>322150</v>
      </c>
      <c r="H20" s="48">
        <f>ROUNDDOWN(IF(('20년간40%'!H22+$C$60)&gt;$B20,$B20,('20년간40%'!H22+$C$60)),-1)</f>
        <v>382010</v>
      </c>
      <c r="I20" s="48">
        <f>ROUNDDOWN(IF(('20년간40%'!I22+$C$60)&gt;$B20,$B20,('20년간40%'!I22+$C$60)),-1)</f>
        <v>441860</v>
      </c>
      <c r="J20" s="58">
        <f>ROUNDDOWN(IF(('20년간40%'!J22+$C$60)&gt;$B20,$B20,('20년간40%'!J22+$C$60)),-1)</f>
        <v>501710</v>
      </c>
      <c r="L20" s="47">
        <v>15</v>
      </c>
      <c r="M20" s="48">
        <v>570000</v>
      </c>
      <c r="N20" s="48">
        <f t="shared" si="1"/>
        <v>51300</v>
      </c>
      <c r="O20" s="48">
        <f t="shared" si="2"/>
        <v>359110</v>
      </c>
      <c r="P20" s="48">
        <f t="shared" si="3"/>
        <v>287290</v>
      </c>
      <c r="Q20" s="48">
        <f t="shared" si="4"/>
        <v>215460</v>
      </c>
      <c r="R20" s="66">
        <f t="shared" si="5"/>
        <v>9696140</v>
      </c>
      <c r="T20" s="47">
        <v>15</v>
      </c>
      <c r="U20" s="48">
        <v>570000</v>
      </c>
      <c r="V20" s="48">
        <f t="shared" si="6"/>
        <v>51300</v>
      </c>
      <c r="W20" s="48">
        <f t="shared" si="7"/>
        <v>143640</v>
      </c>
      <c r="X20" s="48">
        <f t="shared" si="8"/>
        <v>179550</v>
      </c>
      <c r="Y20" s="48">
        <f t="shared" si="9"/>
        <v>359110</v>
      </c>
      <c r="Z20" s="58">
        <f t="shared" si="10"/>
        <v>323200</v>
      </c>
    </row>
    <row r="21" spans="1:26" ht="13.5">
      <c r="A21" s="67">
        <v>15</v>
      </c>
      <c r="B21" s="68">
        <v>620000</v>
      </c>
      <c r="C21" s="68">
        <f t="shared" si="0"/>
        <v>55800</v>
      </c>
      <c r="D21" s="68">
        <f>ROUNDDOWN(IF(('20년간40%'!D23+$C$60)&gt;$B21,$B21,('20년간40%'!D23+$C$60)),-1)</f>
        <v>141300</v>
      </c>
      <c r="E21" s="68">
        <f>ROUNDDOWN(IF(('20년간40%'!E23+$C$60)&gt;$B21,$B21,('20년간40%'!E23+$C$60)),-1)</f>
        <v>206220</v>
      </c>
      <c r="F21" s="68">
        <f>ROUNDDOWN(IF(('20년간40%'!F23+$C$60)&gt;$B21,$B21,('20년간40%'!F23+$C$60)),-1)</f>
        <v>267780</v>
      </c>
      <c r="G21" s="68">
        <f>ROUNDDOWN(IF(('20년간40%'!G23+$C$60)&gt;$B21,$B21,('20년간40%'!G23+$C$60)),-1)</f>
        <v>328880</v>
      </c>
      <c r="H21" s="68">
        <f>ROUNDDOWN(IF(('20년간40%'!H23+$C$60)&gt;$B21,$B21,('20년간40%'!H23+$C$60)),-1)</f>
        <v>389980</v>
      </c>
      <c r="I21" s="68">
        <f>ROUNDDOWN(IF(('20년간40%'!I23+$C$60)&gt;$B21,$B21,('20년간40%'!I23+$C$60)),-1)</f>
        <v>451090</v>
      </c>
      <c r="J21" s="69">
        <f>ROUNDDOWN(IF(('20년간40%'!J23+$C$60)&gt;$B21,$B21,('20년간40%'!J23+$C$60)),-1)</f>
        <v>512190</v>
      </c>
      <c r="K21" s="31"/>
      <c r="L21" s="8">
        <v>16</v>
      </c>
      <c r="M21" s="9">
        <v>620000</v>
      </c>
      <c r="N21" s="9">
        <f t="shared" si="1"/>
        <v>55800</v>
      </c>
      <c r="O21" s="14">
        <f t="shared" si="2"/>
        <v>366610</v>
      </c>
      <c r="P21" s="14">
        <f t="shared" si="3"/>
        <v>293290</v>
      </c>
      <c r="Q21" s="14">
        <f t="shared" si="4"/>
        <v>219960</v>
      </c>
      <c r="R21" s="33">
        <f t="shared" si="5"/>
        <v>9898640</v>
      </c>
      <c r="S21" s="31"/>
      <c r="T21" s="8">
        <v>16</v>
      </c>
      <c r="U21" s="9">
        <v>620000</v>
      </c>
      <c r="V21" s="9">
        <f t="shared" si="6"/>
        <v>55800</v>
      </c>
      <c r="W21" s="14">
        <f t="shared" si="7"/>
        <v>146640</v>
      </c>
      <c r="X21" s="14">
        <f t="shared" si="8"/>
        <v>183300</v>
      </c>
      <c r="Y21" s="14">
        <f t="shared" si="9"/>
        <v>366610</v>
      </c>
      <c r="Z21" s="37">
        <f t="shared" si="10"/>
        <v>329950</v>
      </c>
    </row>
    <row r="22" spans="1:26" ht="13.5">
      <c r="A22" s="8">
        <v>16</v>
      </c>
      <c r="B22" s="9">
        <v>670000</v>
      </c>
      <c r="C22" s="9">
        <f t="shared" si="0"/>
        <v>60300</v>
      </c>
      <c r="D22" s="9">
        <f>ROUNDDOWN(IF(('20년간40%'!D24+$C$60)&gt;$B22,$B22,('20년간40%'!D24+$C$60)),-1)</f>
        <v>144190</v>
      </c>
      <c r="E22" s="9">
        <f>ROUNDDOWN(IF(('20년간40%'!E24+$C$60)&gt;$B22,$B22,('20년간40%'!E24+$C$60)),-1)</f>
        <v>210440</v>
      </c>
      <c r="F22" s="9">
        <f>ROUNDDOWN(IF(('20년간40%'!F24+$C$60)&gt;$B22,$B22,('20년간40%'!F24+$C$60)),-1)</f>
        <v>273260</v>
      </c>
      <c r="G22" s="9">
        <f>ROUNDDOWN(IF(('20년간40%'!G24+$C$60)&gt;$B22,$B22,('20년간40%'!G24+$C$60)),-1)</f>
        <v>335610</v>
      </c>
      <c r="H22" s="9">
        <f>ROUNDDOWN(IF(('20년간40%'!H24+$C$60)&gt;$B22,$B22,('20년간40%'!H24+$C$60)),-1)</f>
        <v>397960</v>
      </c>
      <c r="I22" s="9">
        <f>ROUNDDOWN(IF(('20년간40%'!I24+$C$60)&gt;$B22,$B22,('20년간40%'!I24+$C$60)),-1)</f>
        <v>460310</v>
      </c>
      <c r="J22" s="57">
        <f>ROUNDDOWN(IF(('20년간40%'!J24+$C$60)&gt;$B22,$B22,('20년간40%'!J24+$C$60)),-1)</f>
        <v>522670</v>
      </c>
      <c r="K22" s="31"/>
      <c r="L22" s="8">
        <v>17</v>
      </c>
      <c r="M22" s="9">
        <v>670000</v>
      </c>
      <c r="N22" s="9">
        <f t="shared" si="1"/>
        <v>60300</v>
      </c>
      <c r="O22" s="14">
        <f t="shared" si="2"/>
        <v>374110</v>
      </c>
      <c r="P22" s="14">
        <f t="shared" si="3"/>
        <v>299290</v>
      </c>
      <c r="Q22" s="14">
        <f t="shared" si="4"/>
        <v>224460</v>
      </c>
      <c r="R22" s="33">
        <f t="shared" si="5"/>
        <v>10101140</v>
      </c>
      <c r="S22" s="31"/>
      <c r="T22" s="8">
        <v>17</v>
      </c>
      <c r="U22" s="9">
        <v>670000</v>
      </c>
      <c r="V22" s="9">
        <f t="shared" si="6"/>
        <v>60300</v>
      </c>
      <c r="W22" s="14">
        <f t="shared" si="7"/>
        <v>149640</v>
      </c>
      <c r="X22" s="14">
        <f t="shared" si="8"/>
        <v>187050</v>
      </c>
      <c r="Y22" s="14">
        <f t="shared" si="9"/>
        <v>374110</v>
      </c>
      <c r="Z22" s="37">
        <f t="shared" si="10"/>
        <v>336700</v>
      </c>
    </row>
    <row r="23" spans="1:26" ht="13.5">
      <c r="A23" s="8">
        <v>17</v>
      </c>
      <c r="B23" s="9">
        <v>730000</v>
      </c>
      <c r="C23" s="9">
        <f t="shared" si="0"/>
        <v>65700</v>
      </c>
      <c r="D23" s="9">
        <f>ROUNDDOWN(IF(('20년간40%'!D25+$C$60)&gt;$B23,$B23,('20년간40%'!D25+$C$60)),-1)</f>
        <v>147650</v>
      </c>
      <c r="E23" s="9">
        <f>ROUNDDOWN(IF(('20년간40%'!E25+$C$60)&gt;$B23,$B23,('20년간40%'!E25+$C$60)),-1)</f>
        <v>215500</v>
      </c>
      <c r="F23" s="9">
        <f>ROUNDDOWN(IF(('20년간40%'!F25+$C$60)&gt;$B23,$B23,('20년간40%'!F25+$C$60)),-1)</f>
        <v>279830</v>
      </c>
      <c r="G23" s="9">
        <f>ROUNDDOWN(IF(('20년간40%'!G25+$C$60)&gt;$B23,$B23,('20년간40%'!G25+$C$60)),-1)</f>
        <v>343680</v>
      </c>
      <c r="H23" s="9">
        <f>ROUNDDOWN(IF(('20년간40%'!H25+$C$60)&gt;$B23,$B23,('20년간40%'!H25+$C$60)),-1)</f>
        <v>407540</v>
      </c>
      <c r="I23" s="9">
        <f>ROUNDDOWN(IF(('20년간40%'!I25+$C$60)&gt;$B23,$B23,('20년간40%'!I25+$C$60)),-1)</f>
        <v>471390</v>
      </c>
      <c r="J23" s="57">
        <f>ROUNDDOWN(IF(('20년간40%'!J25+$C$60)&gt;$B23,$B23,('20년간40%'!J25+$C$60)),-1)</f>
        <v>535240</v>
      </c>
      <c r="K23" s="31"/>
      <c r="L23" s="8">
        <v>18</v>
      </c>
      <c r="M23" s="9">
        <v>730000</v>
      </c>
      <c r="N23" s="9">
        <f t="shared" si="1"/>
        <v>65700</v>
      </c>
      <c r="O23" s="14">
        <f t="shared" si="2"/>
        <v>383110</v>
      </c>
      <c r="P23" s="14">
        <f t="shared" si="3"/>
        <v>306490</v>
      </c>
      <c r="Q23" s="14">
        <f t="shared" si="4"/>
        <v>229860</v>
      </c>
      <c r="R23" s="33">
        <f t="shared" si="5"/>
        <v>10344140</v>
      </c>
      <c r="S23" s="31"/>
      <c r="T23" s="8">
        <v>18</v>
      </c>
      <c r="U23" s="9">
        <v>730000</v>
      </c>
      <c r="V23" s="9">
        <f t="shared" si="6"/>
        <v>65700</v>
      </c>
      <c r="W23" s="14">
        <f t="shared" si="7"/>
        <v>153240</v>
      </c>
      <c r="X23" s="14">
        <f t="shared" si="8"/>
        <v>191550</v>
      </c>
      <c r="Y23" s="14">
        <f t="shared" si="9"/>
        <v>383110</v>
      </c>
      <c r="Z23" s="37">
        <f t="shared" si="10"/>
        <v>344800</v>
      </c>
    </row>
    <row r="24" spans="1:26" ht="13.5">
      <c r="A24" s="8">
        <v>18</v>
      </c>
      <c r="B24" s="9">
        <v>790000</v>
      </c>
      <c r="C24" s="9">
        <f t="shared" si="0"/>
        <v>71100</v>
      </c>
      <c r="D24" s="9">
        <f>ROUNDDOWN(IF(('20년간40%'!D26+$C$60)&gt;$B24,$B24,('20년간40%'!D26+$C$60)),-1)</f>
        <v>151120</v>
      </c>
      <c r="E24" s="9">
        <f>ROUNDDOWN(IF(('20년간40%'!E26+$C$60)&gt;$B24,$B24,('20년간40%'!E26+$C$60)),-1)</f>
        <v>220560</v>
      </c>
      <c r="F24" s="9">
        <f>ROUNDDOWN(IF(('20년간40%'!F26+$C$60)&gt;$B24,$B24,('20년간40%'!F26+$C$60)),-1)</f>
        <v>286400</v>
      </c>
      <c r="G24" s="9">
        <f>ROUNDDOWN(IF(('20년간40%'!G26+$C$60)&gt;$B24,$B24,('20년간40%'!G26+$C$60)),-1)</f>
        <v>351760</v>
      </c>
      <c r="H24" s="9">
        <f>ROUNDDOWN(IF(('20년간40%'!H26+$C$60)&gt;$B24,$B24,('20년간40%'!H26+$C$60)),-1)</f>
        <v>417110</v>
      </c>
      <c r="I24" s="9">
        <f>ROUNDDOWN(IF(('20년간40%'!I26+$C$60)&gt;$B24,$B24,('20년간40%'!I26+$C$60)),-1)</f>
        <v>482460</v>
      </c>
      <c r="J24" s="57">
        <f>ROUNDDOWN(IF(('20년간40%'!J26+$C$60)&gt;$B24,$B24,('20년간40%'!J26+$C$60)),-1)</f>
        <v>547810</v>
      </c>
      <c r="K24" s="31"/>
      <c r="L24" s="8">
        <v>19</v>
      </c>
      <c r="M24" s="9">
        <v>790000</v>
      </c>
      <c r="N24" s="9">
        <f t="shared" si="1"/>
        <v>71100</v>
      </c>
      <c r="O24" s="14">
        <f t="shared" si="2"/>
        <v>392110</v>
      </c>
      <c r="P24" s="14">
        <f t="shared" si="3"/>
        <v>313690</v>
      </c>
      <c r="Q24" s="14">
        <f t="shared" si="4"/>
        <v>235260</v>
      </c>
      <c r="R24" s="33">
        <f t="shared" si="5"/>
        <v>10587140</v>
      </c>
      <c r="S24" s="31"/>
      <c r="T24" s="8">
        <v>19</v>
      </c>
      <c r="U24" s="9">
        <v>790000</v>
      </c>
      <c r="V24" s="9">
        <f t="shared" si="6"/>
        <v>71100</v>
      </c>
      <c r="W24" s="14">
        <f t="shared" si="7"/>
        <v>156840</v>
      </c>
      <c r="X24" s="14">
        <f t="shared" si="8"/>
        <v>196050</v>
      </c>
      <c r="Y24" s="14">
        <f t="shared" si="9"/>
        <v>392110</v>
      </c>
      <c r="Z24" s="37">
        <f t="shared" si="10"/>
        <v>352900</v>
      </c>
    </row>
    <row r="25" spans="1:26" ht="13.5">
      <c r="A25" s="47">
        <v>19</v>
      </c>
      <c r="B25" s="48">
        <v>850000</v>
      </c>
      <c r="C25" s="48">
        <f t="shared" si="0"/>
        <v>76500</v>
      </c>
      <c r="D25" s="48">
        <f>ROUNDDOWN(IF(('20년간40%'!D27+$C$60)&gt;$B25,$B25,('20년간40%'!D27+$C$60)),-1)</f>
        <v>154590</v>
      </c>
      <c r="E25" s="48">
        <f>ROUNDDOWN(IF(('20년간40%'!E27+$C$60)&gt;$B25,$B25,('20년간40%'!E27+$C$60)),-1)</f>
        <v>225620</v>
      </c>
      <c r="F25" s="48">
        <f>ROUNDDOWN(IF(('20년간40%'!F27+$C$60)&gt;$B25,$B25,('20년간40%'!F27+$C$60)),-1)</f>
        <v>292980</v>
      </c>
      <c r="G25" s="48">
        <f>ROUNDDOWN(IF(('20년간40%'!G27+$C$60)&gt;$B25,$B25,('20년간40%'!G27+$C$60)),-1)</f>
        <v>359830</v>
      </c>
      <c r="H25" s="48">
        <f>ROUNDDOWN(IF(('20년간40%'!H27+$C$60)&gt;$B25,$B25,('20년간40%'!H27+$C$60)),-1)</f>
        <v>426680</v>
      </c>
      <c r="I25" s="48">
        <f>ROUNDDOWN(IF(('20년간40%'!I27+$C$60)&gt;$B25,$B25,('20년간40%'!I27+$C$60)),-1)</f>
        <v>493540</v>
      </c>
      <c r="J25" s="58">
        <f>ROUNDDOWN(IF(('20년간40%'!J27+$C$60)&gt;$B25,$B25,('20년간40%'!J27+$C$60)),-1)</f>
        <v>560390</v>
      </c>
      <c r="K25" s="31"/>
      <c r="L25" s="13">
        <v>20</v>
      </c>
      <c r="M25" s="14">
        <v>850000</v>
      </c>
      <c r="N25" s="14">
        <f t="shared" si="1"/>
        <v>76500</v>
      </c>
      <c r="O25" s="14">
        <f t="shared" si="2"/>
        <v>401110</v>
      </c>
      <c r="P25" s="14">
        <f t="shared" si="3"/>
        <v>320890</v>
      </c>
      <c r="Q25" s="14">
        <f t="shared" si="4"/>
        <v>240660</v>
      </c>
      <c r="R25" s="33">
        <f t="shared" si="5"/>
        <v>10830140</v>
      </c>
      <c r="S25" s="31"/>
      <c r="T25" s="13">
        <v>20</v>
      </c>
      <c r="U25" s="14">
        <v>850000</v>
      </c>
      <c r="V25" s="14">
        <f t="shared" si="6"/>
        <v>76500</v>
      </c>
      <c r="W25" s="14">
        <f t="shared" si="7"/>
        <v>160440</v>
      </c>
      <c r="X25" s="14">
        <f t="shared" si="8"/>
        <v>200550</v>
      </c>
      <c r="Y25" s="14">
        <f t="shared" si="9"/>
        <v>401110</v>
      </c>
      <c r="Z25" s="37">
        <f t="shared" si="10"/>
        <v>361000</v>
      </c>
    </row>
    <row r="26" spans="1:26" ht="13.5">
      <c r="A26" s="13">
        <v>20</v>
      </c>
      <c r="B26" s="14">
        <v>920000</v>
      </c>
      <c r="C26" s="14">
        <f t="shared" si="0"/>
        <v>82800</v>
      </c>
      <c r="D26" s="14">
        <f>ROUNDDOWN(IF(('20년간40%'!D28+$C$60)&gt;$B26,$B26,('20년간40%'!D28+$C$60)),-1)</f>
        <v>158640</v>
      </c>
      <c r="E26" s="14">
        <f>ROUNDDOWN(IF(('20년간40%'!E28+$C$60)&gt;$B26,$B26,('20년간40%'!E28+$C$60)),-1)</f>
        <v>231530</v>
      </c>
      <c r="F26" s="14">
        <f>ROUNDDOWN(IF(('20년간40%'!F28+$C$60)&gt;$B26,$B26,('20년간40%'!F28+$C$60)),-1)</f>
        <v>300650</v>
      </c>
      <c r="G26" s="14">
        <f>ROUNDDOWN(IF(('20년간40%'!G28+$C$60)&gt;$B26,$B26,('20년간40%'!G28+$C$60)),-1)</f>
        <v>369250</v>
      </c>
      <c r="H26" s="14">
        <f>ROUNDDOWN(IF(('20년간40%'!H28+$C$60)&gt;$B26,$B26,('20년간40%'!H28+$C$60)),-1)</f>
        <v>437850</v>
      </c>
      <c r="I26" s="14">
        <f>ROUNDDOWN(IF(('20년간40%'!I28+$C$60)&gt;$B26,$B26,('20년간40%'!I28+$C$60)),-1)</f>
        <v>506450</v>
      </c>
      <c r="J26" s="37">
        <f>ROUNDDOWN(IF(('20년간40%'!J28+$C$60)&gt;$B26,$B26,('20년간40%'!J28+$C$60)),-1)</f>
        <v>575060</v>
      </c>
      <c r="K26" s="31"/>
      <c r="L26" s="8">
        <v>21</v>
      </c>
      <c r="M26" s="9">
        <v>920000</v>
      </c>
      <c r="N26" s="9">
        <f t="shared" si="1"/>
        <v>82800</v>
      </c>
      <c r="O26" s="14">
        <f t="shared" si="2"/>
        <v>411610</v>
      </c>
      <c r="P26" s="14">
        <f t="shared" si="3"/>
        <v>329290</v>
      </c>
      <c r="Q26" s="14">
        <f t="shared" si="4"/>
        <v>246960</v>
      </c>
      <c r="R26" s="33">
        <f t="shared" si="5"/>
        <v>11113640</v>
      </c>
      <c r="S26" s="31"/>
      <c r="T26" s="8">
        <v>21</v>
      </c>
      <c r="U26" s="9">
        <v>920000</v>
      </c>
      <c r="V26" s="9">
        <f t="shared" si="6"/>
        <v>82800</v>
      </c>
      <c r="W26" s="14">
        <f t="shared" si="7"/>
        <v>164640</v>
      </c>
      <c r="X26" s="14">
        <f t="shared" si="8"/>
        <v>205800</v>
      </c>
      <c r="Y26" s="14">
        <f t="shared" si="9"/>
        <v>411610</v>
      </c>
      <c r="Z26" s="37">
        <f t="shared" si="10"/>
        <v>370450</v>
      </c>
    </row>
    <row r="27" spans="1:26" ht="13.5">
      <c r="A27" s="8">
        <v>21</v>
      </c>
      <c r="B27" s="9">
        <v>990000</v>
      </c>
      <c r="C27" s="9">
        <f t="shared" si="0"/>
        <v>89100</v>
      </c>
      <c r="D27" s="9">
        <f>ROUNDDOWN(IF(('20년간40%'!D29+$C$60)&gt;$B27,$B27,('20년간40%'!D29+$C$60)),-1)</f>
        <v>162690</v>
      </c>
      <c r="E27" s="9">
        <f>ROUNDDOWN(IF(('20년간40%'!E29+$C$60)&gt;$B27,$B27,('20년간40%'!E29+$C$60)),-1)</f>
        <v>237440</v>
      </c>
      <c r="F27" s="9">
        <f>ROUNDDOWN(IF(('20년간40%'!F29+$C$60)&gt;$B27,$B27,('20년간40%'!F29+$C$60)),-1)</f>
        <v>308320</v>
      </c>
      <c r="G27" s="9">
        <f>ROUNDDOWN(IF(('20년간40%'!G29+$C$60)&gt;$B27,$B27,('20년간40%'!G29+$C$60)),-1)</f>
        <v>378670</v>
      </c>
      <c r="H27" s="9">
        <f>ROUNDDOWN(IF(('20년간40%'!H29+$C$60)&gt;$B27,$B27,('20년간40%'!H29+$C$60)),-1)</f>
        <v>449020</v>
      </c>
      <c r="I27" s="9">
        <f>ROUNDDOWN(IF(('20년간40%'!I29+$C$60)&gt;$B27,$B27,('20년간40%'!I29+$C$60)),-1)</f>
        <v>519370</v>
      </c>
      <c r="J27" s="57">
        <f>ROUNDDOWN(IF(('20년간40%'!J29+$C$60)&gt;$B27,$B27,('20년간40%'!J29+$C$60)),-1)</f>
        <v>589730</v>
      </c>
      <c r="K27" s="31"/>
      <c r="L27" s="8">
        <v>22</v>
      </c>
      <c r="M27" s="9">
        <v>990000</v>
      </c>
      <c r="N27" s="9">
        <f t="shared" si="1"/>
        <v>89100</v>
      </c>
      <c r="O27" s="14">
        <f t="shared" si="2"/>
        <v>422110</v>
      </c>
      <c r="P27" s="14">
        <f t="shared" si="3"/>
        <v>337690</v>
      </c>
      <c r="Q27" s="14">
        <f t="shared" si="4"/>
        <v>253260</v>
      </c>
      <c r="R27" s="33">
        <f t="shared" si="5"/>
        <v>11397140</v>
      </c>
      <c r="S27" s="31"/>
      <c r="T27" s="8">
        <v>22</v>
      </c>
      <c r="U27" s="9">
        <v>990000</v>
      </c>
      <c r="V27" s="9">
        <f t="shared" si="6"/>
        <v>89100</v>
      </c>
      <c r="W27" s="14">
        <f t="shared" si="7"/>
        <v>168840</v>
      </c>
      <c r="X27" s="14">
        <f t="shared" si="8"/>
        <v>211050</v>
      </c>
      <c r="Y27" s="14">
        <f t="shared" si="9"/>
        <v>422110</v>
      </c>
      <c r="Z27" s="37">
        <f t="shared" si="10"/>
        <v>379900</v>
      </c>
    </row>
    <row r="28" spans="1:26" ht="13.5">
      <c r="A28" s="8">
        <v>22</v>
      </c>
      <c r="B28" s="9">
        <v>1060000</v>
      </c>
      <c r="C28" s="9">
        <f t="shared" si="0"/>
        <v>95400</v>
      </c>
      <c r="D28" s="9">
        <f>ROUNDDOWN(IF(('20년간40%'!D30+$C$60)&gt;$B28,$B28,('20년간40%'!D30+$C$60)),-1)</f>
        <v>166730</v>
      </c>
      <c r="E28" s="9">
        <f>ROUNDDOWN(IF(('20년간40%'!E30+$C$60)&gt;$B28,$B28,('20년간40%'!E30+$C$60)),-1)</f>
        <v>243340</v>
      </c>
      <c r="F28" s="9">
        <f>ROUNDDOWN(IF(('20년간40%'!F30+$C$60)&gt;$B28,$B28,('20년간40%'!F30+$C$60)),-1)</f>
        <v>315990</v>
      </c>
      <c r="G28" s="9">
        <f>ROUNDDOWN(IF(('20년간40%'!G30+$C$60)&gt;$B28,$B28,('20년간40%'!G30+$C$60)),-1)</f>
        <v>388090</v>
      </c>
      <c r="H28" s="9">
        <f>ROUNDDOWN(IF(('20년간40%'!H30+$C$60)&gt;$B28,$B28,('20년간40%'!H30+$C$60)),-1)</f>
        <v>460190</v>
      </c>
      <c r="I28" s="9">
        <f>ROUNDDOWN(IF(('20년간40%'!I30+$C$60)&gt;$B28,$B28,('20년간40%'!I30+$C$60)),-1)</f>
        <v>532290</v>
      </c>
      <c r="J28" s="57">
        <f>ROUNDDOWN(IF(('20년간40%'!J30+$C$60)&gt;$B28,$B28,('20년간40%'!J30+$C$60)),-1)</f>
        <v>604400</v>
      </c>
      <c r="K28" s="31"/>
      <c r="L28" s="8">
        <v>23</v>
      </c>
      <c r="M28" s="9">
        <v>1060000</v>
      </c>
      <c r="N28" s="9">
        <f t="shared" si="1"/>
        <v>95400</v>
      </c>
      <c r="O28" s="14">
        <f t="shared" si="2"/>
        <v>432610</v>
      </c>
      <c r="P28" s="14">
        <f t="shared" si="3"/>
        <v>346090</v>
      </c>
      <c r="Q28" s="14">
        <f t="shared" si="4"/>
        <v>259560</v>
      </c>
      <c r="R28" s="33">
        <f t="shared" si="5"/>
        <v>11680640</v>
      </c>
      <c r="S28" s="31"/>
      <c r="T28" s="8">
        <v>23</v>
      </c>
      <c r="U28" s="9">
        <v>1060000</v>
      </c>
      <c r="V28" s="9">
        <f t="shared" si="6"/>
        <v>95400</v>
      </c>
      <c r="W28" s="14">
        <f t="shared" si="7"/>
        <v>173040</v>
      </c>
      <c r="X28" s="14">
        <f t="shared" si="8"/>
        <v>216300</v>
      </c>
      <c r="Y28" s="14">
        <f t="shared" si="9"/>
        <v>432610</v>
      </c>
      <c r="Z28" s="37">
        <f t="shared" si="10"/>
        <v>389350</v>
      </c>
    </row>
    <row r="29" spans="1:26" ht="13.5">
      <c r="A29" s="8">
        <v>23</v>
      </c>
      <c r="B29" s="9">
        <v>1130000</v>
      </c>
      <c r="C29" s="9">
        <f t="shared" si="0"/>
        <v>101700</v>
      </c>
      <c r="D29" s="9">
        <f>ROUNDDOWN(IF(('20년간40%'!D31+$C$60)&gt;$B29,$B29,('20년간40%'!D31+$C$60)),-1)</f>
        <v>170780</v>
      </c>
      <c r="E29" s="9">
        <f>ROUNDDOWN(IF(('20년간40%'!E31+$C$60)&gt;$B29,$B29,('20년간40%'!E31+$C$60)),-1)</f>
        <v>249250</v>
      </c>
      <c r="F29" s="9">
        <f>ROUNDDOWN(IF(('20년간40%'!F31+$C$60)&gt;$B29,$B29,('20년간40%'!F31+$C$60)),-1)</f>
        <v>323650</v>
      </c>
      <c r="G29" s="9">
        <f>ROUNDDOWN(IF(('20년간40%'!G31+$C$60)&gt;$B29,$B29,('20년간40%'!G31+$C$60)),-1)</f>
        <v>397510</v>
      </c>
      <c r="H29" s="9">
        <f>ROUNDDOWN(IF(('20년간40%'!H31+$C$60)&gt;$B29,$B29,('20년간40%'!H31+$C$60)),-1)</f>
        <v>471360</v>
      </c>
      <c r="I29" s="9">
        <f>ROUNDDOWN(IF(('20년간40%'!I31+$C$60)&gt;$B29,$B29,('20년간40%'!I31+$C$60)),-1)</f>
        <v>545210</v>
      </c>
      <c r="J29" s="57">
        <f>ROUNDDOWN(IF(('20년간40%'!J31+$C$60)&gt;$B29,$B29,('20년간40%'!J31+$C$60)),-1)</f>
        <v>619070</v>
      </c>
      <c r="K29" s="31"/>
      <c r="L29" s="8">
        <v>24</v>
      </c>
      <c r="M29" s="9">
        <v>1130000</v>
      </c>
      <c r="N29" s="9">
        <f t="shared" si="1"/>
        <v>101700</v>
      </c>
      <c r="O29" s="14">
        <f t="shared" si="2"/>
        <v>443110</v>
      </c>
      <c r="P29" s="14">
        <f t="shared" si="3"/>
        <v>354490</v>
      </c>
      <c r="Q29" s="14">
        <f t="shared" si="4"/>
        <v>265860</v>
      </c>
      <c r="R29" s="33">
        <f t="shared" si="5"/>
        <v>11964140</v>
      </c>
      <c r="S29" s="31"/>
      <c r="T29" s="8">
        <v>24</v>
      </c>
      <c r="U29" s="9">
        <v>1130000</v>
      </c>
      <c r="V29" s="9">
        <f t="shared" si="6"/>
        <v>101700</v>
      </c>
      <c r="W29" s="14">
        <f t="shared" si="7"/>
        <v>177240</v>
      </c>
      <c r="X29" s="14">
        <f t="shared" si="8"/>
        <v>221550</v>
      </c>
      <c r="Y29" s="14">
        <f t="shared" si="9"/>
        <v>443110</v>
      </c>
      <c r="Z29" s="37">
        <f t="shared" si="10"/>
        <v>398800</v>
      </c>
    </row>
    <row r="30" spans="1:26" s="31" customFormat="1" ht="13.5">
      <c r="A30" s="47">
        <v>24</v>
      </c>
      <c r="B30" s="48">
        <v>1210000</v>
      </c>
      <c r="C30" s="48">
        <f t="shared" si="0"/>
        <v>108900</v>
      </c>
      <c r="D30" s="48">
        <f>ROUNDDOWN(IF(('20년간40%'!D32+$C$60)&gt;$B30,$B30,('20년간40%'!D32+$C$60)),-1)</f>
        <v>175400</v>
      </c>
      <c r="E30" s="48">
        <f>ROUNDDOWN(IF(('20년간40%'!E32+$C$60)&gt;$B30,$B30,('20년간40%'!E32+$C$60)),-1)</f>
        <v>256000</v>
      </c>
      <c r="F30" s="48">
        <f>ROUNDDOWN(IF(('20년간40%'!F32+$C$60)&gt;$B30,$B30,('20년간40%'!F32+$C$60)),-1)</f>
        <v>332420</v>
      </c>
      <c r="G30" s="48">
        <f>ROUNDDOWN(IF(('20년간40%'!G32+$C$60)&gt;$B30,$B30,('20년간40%'!G32+$C$60)),-1)</f>
        <v>408270</v>
      </c>
      <c r="H30" s="48">
        <f>ROUNDDOWN(IF(('20년간40%'!H32+$C$60)&gt;$B30,$B30,('20년간40%'!H32+$C$60)),-1)</f>
        <v>484130</v>
      </c>
      <c r="I30" s="48">
        <f>ROUNDDOWN(IF(('20년간40%'!I32+$C$60)&gt;$B30,$B30,('20년간40%'!I32+$C$60)),-1)</f>
        <v>559980</v>
      </c>
      <c r="J30" s="58">
        <f>ROUNDDOWN(IF(('20년간40%'!J32+$C$60)&gt;$B30,$B30,('20년간40%'!J32+$C$60)),-1)</f>
        <v>635830</v>
      </c>
      <c r="L30" s="47">
        <v>25</v>
      </c>
      <c r="M30" s="48">
        <v>1210000</v>
      </c>
      <c r="N30" s="48">
        <f t="shared" si="1"/>
        <v>108900</v>
      </c>
      <c r="O30" s="48">
        <f t="shared" si="2"/>
        <v>455110</v>
      </c>
      <c r="P30" s="48">
        <f t="shared" si="3"/>
        <v>364090</v>
      </c>
      <c r="Q30" s="48">
        <f t="shared" si="4"/>
        <v>273060</v>
      </c>
      <c r="R30" s="66">
        <f t="shared" si="5"/>
        <v>12288140</v>
      </c>
      <c r="T30" s="47">
        <v>25</v>
      </c>
      <c r="U30" s="48">
        <v>1210000</v>
      </c>
      <c r="V30" s="48">
        <f t="shared" si="6"/>
        <v>108900</v>
      </c>
      <c r="W30" s="48">
        <f t="shared" si="7"/>
        <v>182040</v>
      </c>
      <c r="X30" s="48">
        <f t="shared" si="8"/>
        <v>227550</v>
      </c>
      <c r="Y30" s="48">
        <f t="shared" si="9"/>
        <v>455110</v>
      </c>
      <c r="Z30" s="58">
        <f t="shared" si="10"/>
        <v>409600</v>
      </c>
    </row>
    <row r="31" spans="1:26" ht="13.5">
      <c r="A31" s="13">
        <v>25</v>
      </c>
      <c r="B31" s="14">
        <v>1290000</v>
      </c>
      <c r="C31" s="14">
        <f t="shared" si="0"/>
        <v>116100</v>
      </c>
      <c r="D31" s="14">
        <f>ROUNDDOWN(IF(('20년간40%'!D33+$C$60)&gt;$B31,$B31,('20년간40%'!D33+$C$60)),-1)</f>
        <v>180030</v>
      </c>
      <c r="E31" s="14">
        <f>ROUNDDOWN(IF(('20년간40%'!E33+$C$60)&gt;$B31,$B31,('20년간40%'!E33+$C$60)),-1)</f>
        <v>262750</v>
      </c>
      <c r="F31" s="14">
        <f>ROUNDDOWN(IF(('20년간40%'!F33+$C$60)&gt;$B31,$B31,('20년간40%'!F33+$C$60)),-1)</f>
        <v>341180</v>
      </c>
      <c r="G31" s="14">
        <f>ROUNDDOWN(IF(('20년간40%'!G33+$C$60)&gt;$B31,$B31,('20년간40%'!G33+$C$60)),-1)</f>
        <v>419040</v>
      </c>
      <c r="H31" s="14">
        <f>ROUNDDOWN(IF(('20년간40%'!H33+$C$60)&gt;$B31,$B31,('20년간40%'!H33+$C$60)),-1)</f>
        <v>496890</v>
      </c>
      <c r="I31" s="14">
        <f>ROUNDDOWN(IF(('20년간40%'!I33+$C$60)&gt;$B31,$B31,('20년간40%'!I33+$C$60)),-1)</f>
        <v>574740</v>
      </c>
      <c r="J31" s="37">
        <f>ROUNDDOWN(IF(('20년간40%'!J33+$C$60)&gt;$B31,$B31,('20년간40%'!J33+$C$60)),-1)</f>
        <v>652600</v>
      </c>
      <c r="K31" s="31"/>
      <c r="L31" s="8">
        <v>26</v>
      </c>
      <c r="M31" s="9">
        <v>1290000</v>
      </c>
      <c r="N31" s="9">
        <f t="shared" si="1"/>
        <v>116100</v>
      </c>
      <c r="O31" s="14">
        <f t="shared" si="2"/>
        <v>467110</v>
      </c>
      <c r="P31" s="14">
        <f t="shared" si="3"/>
        <v>373690</v>
      </c>
      <c r="Q31" s="14">
        <f t="shared" si="4"/>
        <v>280260</v>
      </c>
      <c r="R31" s="33">
        <f t="shared" si="5"/>
        <v>12612140</v>
      </c>
      <c r="S31" s="31"/>
      <c r="T31" s="8">
        <v>26</v>
      </c>
      <c r="U31" s="9">
        <v>1290000</v>
      </c>
      <c r="V31" s="9">
        <f t="shared" si="6"/>
        <v>116100</v>
      </c>
      <c r="W31" s="14">
        <f t="shared" si="7"/>
        <v>186840</v>
      </c>
      <c r="X31" s="14">
        <f t="shared" si="8"/>
        <v>233550</v>
      </c>
      <c r="Y31" s="14">
        <f t="shared" si="9"/>
        <v>467110</v>
      </c>
      <c r="Z31" s="37">
        <f t="shared" si="10"/>
        <v>420400</v>
      </c>
    </row>
    <row r="32" spans="1:26" ht="13.5">
      <c r="A32" s="8">
        <v>26</v>
      </c>
      <c r="B32" s="9">
        <v>1380000</v>
      </c>
      <c r="C32" s="9">
        <f t="shared" si="0"/>
        <v>124200</v>
      </c>
      <c r="D32" s="9">
        <f>ROUNDDOWN(IF(('20년간40%'!D34+$C$60)&gt;$B32,$B32,('20년간40%'!D34+$C$60)),-1)</f>
        <v>185230</v>
      </c>
      <c r="E32" s="9">
        <f>ROUNDDOWN(IF(('20년간40%'!E34+$C$60)&gt;$B32,$B32,('20년간40%'!E34+$C$60)),-1)</f>
        <v>270340</v>
      </c>
      <c r="F32" s="9">
        <f>ROUNDDOWN(IF(('20년간40%'!F34+$C$60)&gt;$B32,$B32,('20년간40%'!F34+$C$60)),-1)</f>
        <v>351050</v>
      </c>
      <c r="G32" s="9">
        <f>ROUNDDOWN(IF(('20년간40%'!G34+$C$60)&gt;$B32,$B32,('20년간40%'!G34+$C$60)),-1)</f>
        <v>431150</v>
      </c>
      <c r="H32" s="9">
        <f>ROUNDDOWN(IF(('20년간40%'!H34+$C$60)&gt;$B32,$B32,('20년간40%'!H34+$C$60)),-1)</f>
        <v>511250</v>
      </c>
      <c r="I32" s="9">
        <f>ROUNDDOWN(IF(('20년간40%'!I34+$C$60)&gt;$B32,$B32,('20년간40%'!I34+$C$60)),-1)</f>
        <v>591350</v>
      </c>
      <c r="J32" s="57">
        <f>ROUNDDOWN(IF(('20년간40%'!J34+$C$60)&gt;$B32,$B32,('20년간40%'!J34+$C$60)),-1)</f>
        <v>671460</v>
      </c>
      <c r="K32" s="31"/>
      <c r="L32" s="8">
        <v>27</v>
      </c>
      <c r="M32" s="9">
        <v>1380000</v>
      </c>
      <c r="N32" s="9">
        <f t="shared" si="1"/>
        <v>124200</v>
      </c>
      <c r="O32" s="14">
        <f t="shared" si="2"/>
        <v>480610</v>
      </c>
      <c r="P32" s="14">
        <f t="shared" si="3"/>
        <v>384490</v>
      </c>
      <c r="Q32" s="14">
        <f t="shared" si="4"/>
        <v>288360</v>
      </c>
      <c r="R32" s="33">
        <f t="shared" si="5"/>
        <v>12976640</v>
      </c>
      <c r="S32" s="31"/>
      <c r="T32" s="8">
        <v>27</v>
      </c>
      <c r="U32" s="9">
        <v>1380000</v>
      </c>
      <c r="V32" s="9">
        <f t="shared" si="6"/>
        <v>124200</v>
      </c>
      <c r="W32" s="14">
        <f t="shared" si="7"/>
        <v>192240</v>
      </c>
      <c r="X32" s="14">
        <f t="shared" si="8"/>
        <v>240300</v>
      </c>
      <c r="Y32" s="14">
        <f t="shared" si="9"/>
        <v>480610</v>
      </c>
      <c r="Z32" s="37">
        <f t="shared" si="10"/>
        <v>432550</v>
      </c>
    </row>
    <row r="33" spans="1:26" ht="13.5">
      <c r="A33" s="59" t="s">
        <v>95</v>
      </c>
      <c r="B33" s="60">
        <v>1457000</v>
      </c>
      <c r="C33" s="60">
        <v>131130</v>
      </c>
      <c r="D33" s="60">
        <f>ROUNDDOWN(IF(('20년간40%'!D35+$C$60)&gt;$B33,$B33,('20년간40%'!D35+$C$60)),-1)</f>
        <v>189680</v>
      </c>
      <c r="E33" s="60">
        <f>ROUNDDOWN(IF(('20년간40%'!E35+$C$60)&gt;$B33,$B33,('20년간40%'!E35+$C$60)),-1)</f>
        <v>276840</v>
      </c>
      <c r="F33" s="60">
        <f>ROUNDDOWN(IF(('20년간40%'!F35+$C$60)&gt;$B33,$B33,('20년간40%'!F35+$C$60)),-1)</f>
        <v>359480</v>
      </c>
      <c r="G33" s="60">
        <f>ROUNDDOWN(IF(('20년간40%'!G35+$C$60)&gt;$B33,$B33,('20년간40%'!G35+$C$60)),-1)</f>
        <v>441510</v>
      </c>
      <c r="H33" s="60">
        <f>ROUNDDOWN(IF(('20년간40%'!H35+$C$60)&gt;$B33,$B33,('20년간40%'!H35+$C$60)),-1)</f>
        <v>523540</v>
      </c>
      <c r="I33" s="60">
        <f>ROUNDDOWN(IF(('20년간40%'!I35+$C$60)&gt;$B33,$B33,('20년간40%'!I35+$C$60)),-1)</f>
        <v>605560</v>
      </c>
      <c r="J33" s="61">
        <f>ROUNDDOWN(IF(('20년간40%'!J35+$C$60)&gt;$B33,$B33,('20년간40%'!J35+$C$60)),-1)</f>
        <v>687590</v>
      </c>
      <c r="K33" s="31"/>
      <c r="L33" s="8"/>
      <c r="M33" s="9"/>
      <c r="N33" s="9"/>
      <c r="O33" s="14"/>
      <c r="P33" s="14"/>
      <c r="Q33" s="14"/>
      <c r="R33" s="33"/>
      <c r="S33" s="31"/>
      <c r="T33" s="8"/>
      <c r="U33" s="9"/>
      <c r="V33" s="9"/>
      <c r="W33" s="14"/>
      <c r="X33" s="14"/>
      <c r="Y33" s="14"/>
      <c r="Z33" s="37"/>
    </row>
    <row r="34" spans="1:26" ht="13.5">
      <c r="A34" s="8">
        <v>27</v>
      </c>
      <c r="B34" s="9">
        <v>1470000</v>
      </c>
      <c r="C34" s="9">
        <f t="shared" si="0"/>
        <v>132300</v>
      </c>
      <c r="D34" s="9">
        <f>ROUNDDOWN(IF(('20년간40%'!D36+$C$60)&gt;$B34,$B34,('20년간40%'!D36+$C$60)),-1)</f>
        <v>190440</v>
      </c>
      <c r="E34" s="9">
        <f>ROUNDDOWN(IF(('20년간40%'!E36+$C$60)&gt;$B34,$B34,('20년간40%'!E36+$C$60)),-1)</f>
        <v>277940</v>
      </c>
      <c r="F34" s="9">
        <f>ROUNDDOWN(IF(('20년간40%'!F36+$C$60)&gt;$B34,$B34,('20년간40%'!F36+$C$60)),-1)</f>
        <v>360910</v>
      </c>
      <c r="G34" s="9">
        <f>ROUNDDOWN(IF(('20년간40%'!G36+$C$60)&gt;$B34,$B34,('20년간40%'!G36+$C$60)),-1)</f>
        <v>443260</v>
      </c>
      <c r="H34" s="9">
        <f>ROUNDDOWN(IF(('20년간40%'!H36+$C$60)&gt;$B34,$B34,('20년간40%'!H36+$C$60)),-1)</f>
        <v>525610</v>
      </c>
      <c r="I34" s="9">
        <f>ROUNDDOWN(IF(('20년간40%'!I36+$C$60)&gt;$B34,$B34,('20년간40%'!I36+$C$60)),-1)</f>
        <v>607960</v>
      </c>
      <c r="J34" s="57">
        <f>ROUNDDOWN(IF(('20년간40%'!J36+$C$60)&gt;$B34,$B34,('20년간40%'!J36+$C$60)),-1)</f>
        <v>690320</v>
      </c>
      <c r="K34" s="31"/>
      <c r="L34" s="8">
        <v>28</v>
      </c>
      <c r="M34" s="9">
        <v>1470000</v>
      </c>
      <c r="N34" s="9">
        <f t="shared" si="1"/>
        <v>132300</v>
      </c>
      <c r="O34" s="14">
        <f aca="true" t="shared" si="11" ref="O34:O52">ROUNDDOWN(IF(((1.8*($B$4+$M34)/12)+$N$60)&gt;$M34,$M34,(1.8*($B$4+$M34)/12)+$N$60),-1)</f>
        <v>494110</v>
      </c>
      <c r="P34" s="14">
        <f aca="true" t="shared" si="12" ref="P34:P52">ROUNDDOWN(IF(((1.8*($B$4+$M34)*0.8/12)+$N$60)&gt;$M34,$M34,(1.8*($B$4+$M34)*0.8/12)+$N$60),-1)</f>
        <v>395290</v>
      </c>
      <c r="Q34" s="14">
        <f aca="true" t="shared" si="13" ref="Q34:Q52">ROUNDDOWN(IF(((1.8*($B$4+$M34)*0.6/12)+$N$60)&gt;$M34,$M34,(1.8*($B$4+$M34)*0.6/12)+$N$60),-1)</f>
        <v>296460</v>
      </c>
      <c r="R34" s="33">
        <f t="shared" si="5"/>
        <v>13341140</v>
      </c>
      <c r="S34" s="31"/>
      <c r="T34" s="8">
        <v>28</v>
      </c>
      <c r="U34" s="9">
        <v>1470000</v>
      </c>
      <c r="V34" s="9">
        <f t="shared" si="6"/>
        <v>132300</v>
      </c>
      <c r="W34" s="14">
        <f aca="true" t="shared" si="14" ref="W34:W52">ROUNDDOWN(IF((1.8*($B$4+$U34)*0.4/12)+$V$60&gt;$U34,$U34,(1.8*($B$4+$U34)*0.4/12)+$V$60),-1)</f>
        <v>197640</v>
      </c>
      <c r="X34" s="14">
        <f aca="true" t="shared" si="15" ref="X34:X52">ROUNDDOWN(IF((1.8*($B$4+$U34)*0.5/12)+$V$60&gt;$U34,$U34,(1.8*($B$4+$U34)*0.5/12)+$V$60),-1)</f>
        <v>247050</v>
      </c>
      <c r="Y34" s="14">
        <f aca="true" t="shared" si="16" ref="Y34:Y52">ROUNDDOWN(IF((1.8*($B$4+$U34)*0.6/12)+$V$60&gt;$U34,$U34,(1.8*($B$4+$U34)/12)+$V$60),-1)</f>
        <v>494110</v>
      </c>
      <c r="Z34" s="37">
        <f aca="true" t="shared" si="17" ref="Z34:Z52">ROUNDDOWN(IF((1.8*($B$4+$U34)*1.5*0.6/12)+$V$60&gt;$U34,$U34,(1.8*($B$4+$U34)*1.5*0.6/12)+$V$60),-1)</f>
        <v>444700</v>
      </c>
    </row>
    <row r="35" spans="1:26" ht="13.5">
      <c r="A35" s="8">
        <v>28</v>
      </c>
      <c r="B35" s="9">
        <v>1560000</v>
      </c>
      <c r="C35" s="9">
        <f t="shared" si="0"/>
        <v>140400</v>
      </c>
      <c r="D35" s="9">
        <f>ROUNDDOWN(IF(('20년간40%'!D37+$C$60)&gt;$B35,$B35,('20년간40%'!D37+$C$60)),-1)</f>
        <v>195640</v>
      </c>
      <c r="E35" s="9">
        <f>ROUNDDOWN(IF(('20년간40%'!E37+$C$60)&gt;$B35,$B35,('20년간40%'!E37+$C$60)),-1)</f>
        <v>285530</v>
      </c>
      <c r="F35" s="9">
        <f>ROUNDDOWN(IF(('20년간40%'!F37+$C$60)&gt;$B35,$B35,('20년간40%'!F37+$C$60)),-1)</f>
        <v>370770</v>
      </c>
      <c r="G35" s="9">
        <f>ROUNDDOWN(IF(('20년간40%'!G37+$C$60)&gt;$B35,$B35,('20년간40%'!G37+$C$60)),-1)</f>
        <v>455370</v>
      </c>
      <c r="H35" s="9">
        <f>ROUNDDOWN(IF(('20년간40%'!H37+$C$60)&gt;$B35,$B35,('20년간40%'!H37+$C$60)),-1)</f>
        <v>539970</v>
      </c>
      <c r="I35" s="9">
        <f>ROUNDDOWN(IF(('20년간40%'!I37+$C$60)&gt;$B35,$B35,('20년간40%'!I37+$C$60)),-1)</f>
        <v>624570</v>
      </c>
      <c r="J35" s="57">
        <f>ROUNDDOWN(IF(('20년간40%'!J37+$C$60)&gt;$B35,$B35,('20년간40%'!J37+$C$60)),-1)</f>
        <v>709180</v>
      </c>
      <c r="K35" s="31"/>
      <c r="L35" s="8">
        <v>29</v>
      </c>
      <c r="M35" s="9">
        <v>1560000</v>
      </c>
      <c r="N35" s="9">
        <f t="shared" si="1"/>
        <v>140400</v>
      </c>
      <c r="O35" s="14">
        <f t="shared" si="11"/>
        <v>507610</v>
      </c>
      <c r="P35" s="14">
        <f t="shared" si="12"/>
        <v>406090</v>
      </c>
      <c r="Q35" s="14">
        <f t="shared" si="13"/>
        <v>304560</v>
      </c>
      <c r="R35" s="33">
        <f t="shared" si="5"/>
        <v>13705640</v>
      </c>
      <c r="S35" s="31"/>
      <c r="T35" s="8">
        <v>29</v>
      </c>
      <c r="U35" s="9">
        <v>1560000</v>
      </c>
      <c r="V35" s="9">
        <f t="shared" si="6"/>
        <v>140400</v>
      </c>
      <c r="W35" s="14">
        <f t="shared" si="14"/>
        <v>203040</v>
      </c>
      <c r="X35" s="14">
        <f t="shared" si="15"/>
        <v>253800</v>
      </c>
      <c r="Y35" s="14">
        <f t="shared" si="16"/>
        <v>507610</v>
      </c>
      <c r="Z35" s="37">
        <f t="shared" si="17"/>
        <v>456850</v>
      </c>
    </row>
    <row r="36" spans="1:26" ht="13.5">
      <c r="A36" s="47">
        <v>29</v>
      </c>
      <c r="B36" s="48">
        <v>1660000</v>
      </c>
      <c r="C36" s="48">
        <f t="shared" si="0"/>
        <v>149400</v>
      </c>
      <c r="D36" s="48">
        <f>ROUNDDOWN(IF(('20년간40%'!D38+$C$60)&gt;$B36,$B36,('20년간40%'!D38+$C$60)),-1)</f>
        <v>201420</v>
      </c>
      <c r="E36" s="48">
        <f>ROUNDDOWN(IF(('20년간40%'!E38+$C$60)&gt;$B36,$B36,('20년간40%'!E38+$C$60)),-1)</f>
        <v>293970</v>
      </c>
      <c r="F36" s="48">
        <f>ROUNDDOWN(IF(('20년간40%'!F38+$C$60)&gt;$B36,$B36,('20년간40%'!F38+$C$60)),-1)</f>
        <v>381720</v>
      </c>
      <c r="G36" s="48">
        <f>ROUNDDOWN(IF(('20년간40%'!G38+$C$60)&gt;$B36,$B36,('20년간40%'!G38+$C$60)),-1)</f>
        <v>468830</v>
      </c>
      <c r="H36" s="48">
        <f>ROUNDDOWN(IF(('20년간40%'!H38+$C$60)&gt;$B36,$B36,('20년간40%'!H38+$C$60)),-1)</f>
        <v>555930</v>
      </c>
      <c r="I36" s="48">
        <f>ROUNDDOWN(IF(('20년간40%'!I38+$C$60)&gt;$B36,$B36,('20년간40%'!I38+$C$60)),-1)</f>
        <v>643030</v>
      </c>
      <c r="J36" s="58">
        <f>ROUNDDOWN(IF(('20년간40%'!J38+$C$60)&gt;$B36,$B36,('20년간40%'!J38+$C$60)),-1)</f>
        <v>730130</v>
      </c>
      <c r="K36" s="31"/>
      <c r="L36" s="13">
        <v>30</v>
      </c>
      <c r="M36" s="14">
        <v>1660000</v>
      </c>
      <c r="N36" s="14">
        <f t="shared" si="1"/>
        <v>149400</v>
      </c>
      <c r="O36" s="14">
        <f t="shared" si="11"/>
        <v>522610</v>
      </c>
      <c r="P36" s="14">
        <f t="shared" si="12"/>
        <v>418090</v>
      </c>
      <c r="Q36" s="14">
        <f t="shared" si="13"/>
        <v>313560</v>
      </c>
      <c r="R36" s="33">
        <f t="shared" si="5"/>
        <v>14110640</v>
      </c>
      <c r="S36" s="31"/>
      <c r="T36" s="13">
        <v>30</v>
      </c>
      <c r="U36" s="14">
        <v>1660000</v>
      </c>
      <c r="V36" s="14">
        <f t="shared" si="6"/>
        <v>149400</v>
      </c>
      <c r="W36" s="14">
        <f t="shared" si="14"/>
        <v>209040</v>
      </c>
      <c r="X36" s="14">
        <f t="shared" si="15"/>
        <v>261300</v>
      </c>
      <c r="Y36" s="14">
        <f t="shared" si="16"/>
        <v>522610</v>
      </c>
      <c r="Z36" s="37">
        <f t="shared" si="17"/>
        <v>470350</v>
      </c>
    </row>
    <row r="37" spans="1:26" ht="13.5">
      <c r="A37" s="13">
        <v>30</v>
      </c>
      <c r="B37" s="14">
        <v>1760000</v>
      </c>
      <c r="C37" s="14">
        <f t="shared" si="0"/>
        <v>158400</v>
      </c>
      <c r="D37" s="14">
        <f>ROUNDDOWN(IF(('20년간40%'!D39+$C$60)&gt;$B37,$B37,('20년간40%'!D39+$C$60)),-1)</f>
        <v>207200</v>
      </c>
      <c r="E37" s="14">
        <f>ROUNDDOWN(IF(('20년간40%'!E39+$C$60)&gt;$B37,$B37,('20년간40%'!E39+$C$60)),-1)</f>
        <v>302400</v>
      </c>
      <c r="F37" s="14">
        <f>ROUNDDOWN(IF(('20년간40%'!F39+$C$60)&gt;$B37,$B37,('20년간40%'!F39+$C$60)),-1)</f>
        <v>392680</v>
      </c>
      <c r="G37" s="14">
        <f>ROUNDDOWN(IF(('20년간40%'!G39+$C$60)&gt;$B37,$B37,('20년간40%'!G39+$C$60)),-1)</f>
        <v>482280</v>
      </c>
      <c r="H37" s="14">
        <f>ROUNDDOWN(IF(('20년간40%'!H39+$C$60)&gt;$B37,$B37,('20년간40%'!H39+$C$60)),-1)</f>
        <v>571880</v>
      </c>
      <c r="I37" s="14">
        <f>ROUNDDOWN(IF(('20년간40%'!I39+$C$60)&gt;$B37,$B37,('20년간40%'!I39+$C$60)),-1)</f>
        <v>661490</v>
      </c>
      <c r="J37" s="37">
        <f>ROUNDDOWN(IF(('20년간40%'!J39+$C$60)&gt;$B37,$B37,('20년간40%'!J39+$C$60)),-1)</f>
        <v>751090</v>
      </c>
      <c r="K37" s="31"/>
      <c r="L37" s="8">
        <v>31</v>
      </c>
      <c r="M37" s="9">
        <v>1760000</v>
      </c>
      <c r="N37" s="9">
        <f t="shared" si="1"/>
        <v>158400</v>
      </c>
      <c r="O37" s="14">
        <f t="shared" si="11"/>
        <v>537610</v>
      </c>
      <c r="P37" s="14">
        <f t="shared" si="12"/>
        <v>430090</v>
      </c>
      <c r="Q37" s="14">
        <f t="shared" si="13"/>
        <v>322560</v>
      </c>
      <c r="R37" s="33">
        <f t="shared" si="5"/>
        <v>14515640</v>
      </c>
      <c r="S37" s="31"/>
      <c r="T37" s="8">
        <v>31</v>
      </c>
      <c r="U37" s="9">
        <v>1760000</v>
      </c>
      <c r="V37" s="9">
        <f t="shared" si="6"/>
        <v>158400</v>
      </c>
      <c r="W37" s="14">
        <f t="shared" si="14"/>
        <v>215040</v>
      </c>
      <c r="X37" s="14">
        <f t="shared" si="15"/>
        <v>268800</v>
      </c>
      <c r="Y37" s="14">
        <f t="shared" si="16"/>
        <v>537610</v>
      </c>
      <c r="Z37" s="37">
        <f t="shared" si="17"/>
        <v>483850</v>
      </c>
    </row>
    <row r="38" spans="1:26" ht="13.5">
      <c r="A38" s="8">
        <v>31</v>
      </c>
      <c r="B38" s="9">
        <v>1860000</v>
      </c>
      <c r="C38" s="9">
        <f t="shared" si="0"/>
        <v>167400</v>
      </c>
      <c r="D38" s="9">
        <f>ROUNDDOWN(IF(('20년간40%'!D40+$C$60)&gt;$B38,$B38,('20년간40%'!D40+$C$60)),-1)</f>
        <v>212980</v>
      </c>
      <c r="E38" s="9">
        <f>ROUNDDOWN(IF(('20년간40%'!E40+$C$60)&gt;$B38,$B38,('20년간40%'!E40+$C$60)),-1)</f>
        <v>310840</v>
      </c>
      <c r="F38" s="9">
        <f>ROUNDDOWN(IF(('20년간40%'!F40+$C$60)&gt;$B38,$B38,('20년간40%'!F40+$C$60)),-1)</f>
        <v>403640</v>
      </c>
      <c r="G38" s="9">
        <f>ROUNDDOWN(IF(('20년간40%'!G40+$C$60)&gt;$B38,$B38,('20년간40%'!G40+$C$60)),-1)</f>
        <v>495740</v>
      </c>
      <c r="H38" s="9">
        <f>ROUNDDOWN(IF(('20년간40%'!H40+$C$60)&gt;$B38,$B38,('20년간40%'!H40+$C$60)),-1)</f>
        <v>587840</v>
      </c>
      <c r="I38" s="9">
        <f>ROUNDDOWN(IF(('20년간40%'!I40+$C$60)&gt;$B38,$B38,('20년간40%'!I40+$C$60)),-1)</f>
        <v>679940</v>
      </c>
      <c r="J38" s="57">
        <f>ROUNDDOWN(IF(('20년간40%'!J40+$C$60)&gt;$B38,$B38,('20년간40%'!J40+$C$60)),-1)</f>
        <v>772050</v>
      </c>
      <c r="K38" s="31"/>
      <c r="L38" s="8">
        <v>32</v>
      </c>
      <c r="M38" s="9">
        <v>1860000</v>
      </c>
      <c r="N38" s="9">
        <f t="shared" si="1"/>
        <v>167400</v>
      </c>
      <c r="O38" s="14">
        <f t="shared" si="11"/>
        <v>552610</v>
      </c>
      <c r="P38" s="14">
        <f t="shared" si="12"/>
        <v>442090</v>
      </c>
      <c r="Q38" s="14">
        <f t="shared" si="13"/>
        <v>331560</v>
      </c>
      <c r="R38" s="33">
        <f t="shared" si="5"/>
        <v>14920640</v>
      </c>
      <c r="S38" s="31"/>
      <c r="T38" s="8">
        <v>32</v>
      </c>
      <c r="U38" s="9">
        <v>1860000</v>
      </c>
      <c r="V38" s="9">
        <f t="shared" si="6"/>
        <v>167400</v>
      </c>
      <c r="W38" s="14">
        <f t="shared" si="14"/>
        <v>221040</v>
      </c>
      <c r="X38" s="14">
        <f t="shared" si="15"/>
        <v>276300</v>
      </c>
      <c r="Y38" s="14">
        <f t="shared" si="16"/>
        <v>552610</v>
      </c>
      <c r="Z38" s="37">
        <f t="shared" si="17"/>
        <v>497350</v>
      </c>
    </row>
    <row r="39" spans="1:26" ht="13.5">
      <c r="A39" s="8">
        <v>32</v>
      </c>
      <c r="B39" s="9">
        <v>1970000</v>
      </c>
      <c r="C39" s="9">
        <f t="shared" si="0"/>
        <v>177300</v>
      </c>
      <c r="D39" s="9">
        <f>ROUNDDOWN(IF(('20년간40%'!D41+$C$60)&gt;$B39,$B39,('20년간40%'!D41+$C$60)),-1)</f>
        <v>219340</v>
      </c>
      <c r="E39" s="9">
        <f>ROUNDDOWN(IF(('20년간40%'!E41+$C$60)&gt;$B39,$B39,('20년간40%'!E41+$C$60)),-1)</f>
        <v>320120</v>
      </c>
      <c r="F39" s="9">
        <f>ROUNDDOWN(IF(('20년간40%'!F41+$C$60)&gt;$B39,$B39,('20년간40%'!F41+$C$60)),-1)</f>
        <v>415690</v>
      </c>
      <c r="G39" s="9">
        <f>ROUNDDOWN(IF(('20년간40%'!G41+$C$60)&gt;$B39,$B39,('20년간40%'!G41+$C$60)),-1)</f>
        <v>510540</v>
      </c>
      <c r="H39" s="9">
        <f>ROUNDDOWN(IF(('20년간40%'!H41+$C$60)&gt;$B39,$B39,('20년간40%'!H41+$C$60)),-1)</f>
        <v>605390</v>
      </c>
      <c r="I39" s="9">
        <f>ROUNDDOWN(IF(('20년간40%'!I41+$C$60)&gt;$B39,$B39,('20년간40%'!I41+$C$60)),-1)</f>
        <v>700250</v>
      </c>
      <c r="J39" s="57">
        <f>ROUNDDOWN(IF(('20년간40%'!J41+$C$60)&gt;$B39,$B39,('20년간40%'!J41+$C$60)),-1)</f>
        <v>795100</v>
      </c>
      <c r="K39" s="31"/>
      <c r="L39" s="8">
        <v>33</v>
      </c>
      <c r="M39" s="9">
        <v>1970000</v>
      </c>
      <c r="N39" s="9">
        <f t="shared" si="1"/>
        <v>177300</v>
      </c>
      <c r="O39" s="14">
        <f t="shared" si="11"/>
        <v>569110</v>
      </c>
      <c r="P39" s="14">
        <f t="shared" si="12"/>
        <v>455290</v>
      </c>
      <c r="Q39" s="14">
        <f t="shared" si="13"/>
        <v>341460</v>
      </c>
      <c r="R39" s="33">
        <f t="shared" si="5"/>
        <v>15366140</v>
      </c>
      <c r="S39" s="31"/>
      <c r="T39" s="8">
        <v>33</v>
      </c>
      <c r="U39" s="9">
        <v>1970000</v>
      </c>
      <c r="V39" s="9">
        <f t="shared" si="6"/>
        <v>177300</v>
      </c>
      <c r="W39" s="14">
        <f t="shared" si="14"/>
        <v>227640</v>
      </c>
      <c r="X39" s="14">
        <f t="shared" si="15"/>
        <v>284550</v>
      </c>
      <c r="Y39" s="14">
        <f t="shared" si="16"/>
        <v>569110</v>
      </c>
      <c r="Z39" s="37">
        <f t="shared" si="17"/>
        <v>512200</v>
      </c>
    </row>
    <row r="40" spans="1:26" ht="13.5">
      <c r="A40" s="8">
        <v>33</v>
      </c>
      <c r="B40" s="9">
        <v>2080000</v>
      </c>
      <c r="C40" s="9">
        <f t="shared" si="0"/>
        <v>187200</v>
      </c>
      <c r="D40" s="9">
        <f>ROUNDDOWN(IF(('20년간40%'!D42+$C$60)&gt;$B40,$B40,('20년간40%'!D42+$C$60)),-1)</f>
        <v>225700</v>
      </c>
      <c r="E40" s="9">
        <f>ROUNDDOWN(IF(('20년간40%'!E42+$C$60)&gt;$B40,$B40,('20년간40%'!E42+$C$60)),-1)</f>
        <v>329400</v>
      </c>
      <c r="F40" s="9">
        <f>ROUNDDOWN(IF(('20년간40%'!F42+$C$60)&gt;$B40,$B40,('20년간40%'!F42+$C$60)),-1)</f>
        <v>427740</v>
      </c>
      <c r="G40" s="9">
        <f>ROUNDDOWN(IF(('20년간40%'!G42+$C$60)&gt;$B40,$B40,('20년간40%'!G42+$C$60)),-1)</f>
        <v>525340</v>
      </c>
      <c r="H40" s="9">
        <f>ROUNDDOWN(IF(('20년간40%'!H42+$C$60)&gt;$B40,$B40,('20년간40%'!H42+$C$60)),-1)</f>
        <v>622940</v>
      </c>
      <c r="I40" s="9">
        <f>ROUNDDOWN(IF(('20년간40%'!I42+$C$60)&gt;$B40,$B40,('20년간40%'!I42+$C$60)),-1)</f>
        <v>720550</v>
      </c>
      <c r="J40" s="57">
        <f>ROUNDDOWN(IF(('20년간40%'!J42+$C$60)&gt;$B40,$B40,('20년간40%'!J42+$C$60)),-1)</f>
        <v>818150</v>
      </c>
      <c r="K40" s="31"/>
      <c r="L40" s="8">
        <v>34</v>
      </c>
      <c r="M40" s="9">
        <v>2080000</v>
      </c>
      <c r="N40" s="9">
        <f t="shared" si="1"/>
        <v>187200</v>
      </c>
      <c r="O40" s="14">
        <f t="shared" si="11"/>
        <v>585610</v>
      </c>
      <c r="P40" s="14">
        <f t="shared" si="12"/>
        <v>468490</v>
      </c>
      <c r="Q40" s="14">
        <f t="shared" si="13"/>
        <v>351360</v>
      </c>
      <c r="R40" s="33">
        <f t="shared" si="5"/>
        <v>15811640</v>
      </c>
      <c r="S40" s="31"/>
      <c r="T40" s="8">
        <v>34</v>
      </c>
      <c r="U40" s="9">
        <v>2080000</v>
      </c>
      <c r="V40" s="9">
        <f t="shared" si="6"/>
        <v>187200</v>
      </c>
      <c r="W40" s="14">
        <f t="shared" si="14"/>
        <v>234240</v>
      </c>
      <c r="X40" s="14">
        <f t="shared" si="15"/>
        <v>292800</v>
      </c>
      <c r="Y40" s="14">
        <f t="shared" si="16"/>
        <v>585610</v>
      </c>
      <c r="Z40" s="37">
        <f t="shared" si="17"/>
        <v>527050</v>
      </c>
    </row>
    <row r="41" spans="1:26" ht="13.5">
      <c r="A41" s="47">
        <v>34</v>
      </c>
      <c r="B41" s="48">
        <v>2190000</v>
      </c>
      <c r="C41" s="48">
        <f t="shared" si="0"/>
        <v>197100</v>
      </c>
      <c r="D41" s="48">
        <f>ROUNDDOWN(IF(('20년간40%'!D43+$C$60)&gt;$B41,$B41,('20년간40%'!D43+$C$60)),-1)</f>
        <v>232060</v>
      </c>
      <c r="E41" s="48">
        <f>ROUNDDOWN(IF(('20년간40%'!E43+$C$60)&gt;$B41,$B41,('20년간40%'!E43+$C$60)),-1)</f>
        <v>338690</v>
      </c>
      <c r="F41" s="48">
        <f>ROUNDDOWN(IF(('20년간40%'!F43+$C$60)&gt;$B41,$B41,('20년간40%'!F43+$C$60)),-1)</f>
        <v>439790</v>
      </c>
      <c r="G41" s="48">
        <f>ROUNDDOWN(IF(('20년간40%'!G43+$C$60)&gt;$B41,$B41,('20년간40%'!G43+$C$60)),-1)</f>
        <v>540140</v>
      </c>
      <c r="H41" s="48">
        <f>ROUNDDOWN(IF(('20년간40%'!H43+$C$60)&gt;$B41,$B41,('20년간40%'!H43+$C$60)),-1)</f>
        <v>640500</v>
      </c>
      <c r="I41" s="48">
        <f>ROUNDDOWN(IF(('20년간40%'!I43+$C$60)&gt;$B41,$B41,('20년간40%'!I43+$C$60)),-1)</f>
        <v>740850</v>
      </c>
      <c r="J41" s="58">
        <f>ROUNDDOWN(IF(('20년간40%'!J43+$C$60)&gt;$B41,$B41,('20년간40%'!J43+$C$60)),-1)</f>
        <v>841200</v>
      </c>
      <c r="K41" s="31"/>
      <c r="L41" s="13">
        <v>35</v>
      </c>
      <c r="M41" s="14">
        <v>2190000</v>
      </c>
      <c r="N41" s="14">
        <f t="shared" si="1"/>
        <v>197100</v>
      </c>
      <c r="O41" s="14">
        <f t="shared" si="11"/>
        <v>602110</v>
      </c>
      <c r="P41" s="14">
        <f t="shared" si="12"/>
        <v>481690</v>
      </c>
      <c r="Q41" s="14">
        <f t="shared" si="13"/>
        <v>361260</v>
      </c>
      <c r="R41" s="33">
        <f t="shared" si="5"/>
        <v>16257140</v>
      </c>
      <c r="S41" s="31"/>
      <c r="T41" s="13">
        <v>35</v>
      </c>
      <c r="U41" s="14">
        <v>2190000</v>
      </c>
      <c r="V41" s="14">
        <f t="shared" si="6"/>
        <v>197100</v>
      </c>
      <c r="W41" s="14">
        <f t="shared" si="14"/>
        <v>240840</v>
      </c>
      <c r="X41" s="14">
        <f t="shared" si="15"/>
        <v>301050</v>
      </c>
      <c r="Y41" s="14">
        <f t="shared" si="16"/>
        <v>602110</v>
      </c>
      <c r="Z41" s="37">
        <f t="shared" si="17"/>
        <v>541900</v>
      </c>
    </row>
    <row r="42" spans="1:26" ht="13.5">
      <c r="A42" s="13">
        <v>35</v>
      </c>
      <c r="B42" s="14">
        <v>2300000</v>
      </c>
      <c r="C42" s="14">
        <f t="shared" si="0"/>
        <v>207000</v>
      </c>
      <c r="D42" s="14">
        <f>ROUNDDOWN(IF(('20년간40%'!D44+$C$60)&gt;$B42,$B42,('20년간40%'!D44+$C$60)),-1)</f>
        <v>238420</v>
      </c>
      <c r="E42" s="14">
        <f>ROUNDDOWN(IF(('20년간40%'!E44+$C$60)&gt;$B42,$B42,('20년간40%'!E44+$C$60)),-1)</f>
        <v>347970</v>
      </c>
      <c r="F42" s="14">
        <f>ROUNDDOWN(IF(('20년간40%'!F44+$C$60)&gt;$B42,$B42,('20년간40%'!F44+$C$60)),-1)</f>
        <v>451840</v>
      </c>
      <c r="G42" s="14">
        <f>ROUNDDOWN(IF(('20년간40%'!G44+$C$60)&gt;$B42,$B42,('20년간40%'!G44+$C$60)),-1)</f>
        <v>554950</v>
      </c>
      <c r="H42" s="14">
        <f>ROUNDDOWN(IF(('20년간40%'!H44+$C$60)&gt;$B42,$B42,('20년간40%'!H44+$C$60)),-1)</f>
        <v>658050</v>
      </c>
      <c r="I42" s="14">
        <f>ROUNDDOWN(IF(('20년간40%'!I44+$C$60)&gt;$B42,$B42,('20년간40%'!I44+$C$60)),-1)</f>
        <v>761150</v>
      </c>
      <c r="J42" s="37">
        <f>ROUNDDOWN(IF(('20년간40%'!J44+$C$60)&gt;$B42,$B42,('20년간40%'!J44+$C$60)),-1)</f>
        <v>864250</v>
      </c>
      <c r="K42" s="31"/>
      <c r="L42" s="8">
        <v>36</v>
      </c>
      <c r="M42" s="9">
        <v>2300000</v>
      </c>
      <c r="N42" s="9">
        <f t="shared" si="1"/>
        <v>207000</v>
      </c>
      <c r="O42" s="14">
        <f t="shared" si="11"/>
        <v>618610</v>
      </c>
      <c r="P42" s="14">
        <f t="shared" si="12"/>
        <v>494890</v>
      </c>
      <c r="Q42" s="14">
        <f t="shared" si="13"/>
        <v>371160</v>
      </c>
      <c r="R42" s="33">
        <f t="shared" si="5"/>
        <v>16702640</v>
      </c>
      <c r="S42" s="31"/>
      <c r="T42" s="8">
        <v>36</v>
      </c>
      <c r="U42" s="9">
        <v>2300000</v>
      </c>
      <c r="V42" s="9">
        <f t="shared" si="6"/>
        <v>207000</v>
      </c>
      <c r="W42" s="14">
        <f t="shared" si="14"/>
        <v>247440</v>
      </c>
      <c r="X42" s="14">
        <f t="shared" si="15"/>
        <v>309300</v>
      </c>
      <c r="Y42" s="14">
        <f t="shared" si="16"/>
        <v>618610</v>
      </c>
      <c r="Z42" s="37">
        <f t="shared" si="17"/>
        <v>556750</v>
      </c>
    </row>
    <row r="43" spans="1:26" ht="13.5">
      <c r="A43" s="8">
        <v>36</v>
      </c>
      <c r="B43" s="9">
        <v>2420000</v>
      </c>
      <c r="C43" s="9">
        <f t="shared" si="0"/>
        <v>217800</v>
      </c>
      <c r="D43" s="9">
        <f>ROUNDDOWN(IF(('20년간40%'!D45+$C$60)&gt;$B43,$B43,('20년간40%'!D45+$C$60)),-1)</f>
        <v>245360</v>
      </c>
      <c r="E43" s="9">
        <f>ROUNDDOWN(IF(('20년간40%'!E45+$C$60)&gt;$B43,$B43,('20년간40%'!E45+$C$60)),-1)</f>
        <v>358090</v>
      </c>
      <c r="F43" s="9">
        <f>ROUNDDOWN(IF(('20년간40%'!F45+$C$60)&gt;$B43,$B43,('20년간40%'!F45+$C$60)),-1)</f>
        <v>464990</v>
      </c>
      <c r="G43" s="9">
        <f>ROUNDDOWN(IF(('20년간40%'!G45+$C$60)&gt;$B43,$B43,('20년간40%'!G45+$C$60)),-1)</f>
        <v>571090</v>
      </c>
      <c r="H43" s="9">
        <f>ROUNDDOWN(IF(('20년간40%'!H45+$C$60)&gt;$B43,$B43,('20년간40%'!H45+$C$60)),-1)</f>
        <v>677200</v>
      </c>
      <c r="I43" s="9">
        <f>ROUNDDOWN(IF(('20년간40%'!I45+$C$60)&gt;$B43,$B43,('20년간40%'!I45+$C$60)),-1)</f>
        <v>783300</v>
      </c>
      <c r="J43" s="57">
        <f>ROUNDDOWN(IF(('20년간40%'!J45+$C$60)&gt;$B43,$B43,('20년간40%'!J45+$C$60)),-1)</f>
        <v>889400</v>
      </c>
      <c r="K43" s="31"/>
      <c r="L43" s="8">
        <v>37</v>
      </c>
      <c r="M43" s="9">
        <v>2420000</v>
      </c>
      <c r="N43" s="9">
        <f t="shared" si="1"/>
        <v>217800</v>
      </c>
      <c r="O43" s="14">
        <f t="shared" si="11"/>
        <v>636610</v>
      </c>
      <c r="P43" s="14">
        <f t="shared" si="12"/>
        <v>509290</v>
      </c>
      <c r="Q43" s="14">
        <f t="shared" si="13"/>
        <v>381960</v>
      </c>
      <c r="R43" s="33">
        <f t="shared" si="5"/>
        <v>17188640</v>
      </c>
      <c r="S43" s="31"/>
      <c r="T43" s="8">
        <v>37</v>
      </c>
      <c r="U43" s="9">
        <v>2420000</v>
      </c>
      <c r="V43" s="9">
        <f t="shared" si="6"/>
        <v>217800</v>
      </c>
      <c r="W43" s="14">
        <f t="shared" si="14"/>
        <v>254640</v>
      </c>
      <c r="X43" s="14">
        <f t="shared" si="15"/>
        <v>318300</v>
      </c>
      <c r="Y43" s="14">
        <f t="shared" si="16"/>
        <v>636610</v>
      </c>
      <c r="Z43" s="37">
        <f t="shared" si="17"/>
        <v>572950</v>
      </c>
    </row>
    <row r="44" spans="1:26" ht="13.5">
      <c r="A44" s="8">
        <v>37</v>
      </c>
      <c r="B44" s="9">
        <v>2540000</v>
      </c>
      <c r="C44" s="9">
        <f t="shared" si="0"/>
        <v>228600</v>
      </c>
      <c r="D44" s="9">
        <f>ROUNDDOWN(IF(('20년간40%'!D46+$C$60)&gt;$B44,$B44,('20년간40%'!D46+$C$60)),-1)</f>
        <v>252300</v>
      </c>
      <c r="E44" s="9">
        <f>ROUNDDOWN(IF(('20년간40%'!E46+$C$60)&gt;$B44,$B44,('20년간40%'!E46+$C$60)),-1)</f>
        <v>368220</v>
      </c>
      <c r="F44" s="9">
        <f>ROUNDDOWN(IF(('20년간40%'!F46+$C$60)&gt;$B44,$B44,('20년간40%'!F46+$C$60)),-1)</f>
        <v>478140</v>
      </c>
      <c r="G44" s="9">
        <f>ROUNDDOWN(IF(('20년간40%'!G46+$C$60)&gt;$B44,$B44,('20년간40%'!G46+$C$60)),-1)</f>
        <v>587240</v>
      </c>
      <c r="H44" s="9">
        <f>ROUNDDOWN(IF(('20년간40%'!H46+$C$60)&gt;$B44,$B44,('20년간40%'!H46+$C$60)),-1)</f>
        <v>696340</v>
      </c>
      <c r="I44" s="9">
        <f>ROUNDDOWN(IF(('20년간40%'!I46+$C$60)&gt;$B44,$B44,('20년간40%'!I46+$C$60)),-1)</f>
        <v>805450</v>
      </c>
      <c r="J44" s="57">
        <f>ROUNDDOWN(IF(('20년간40%'!J46+$C$60)&gt;$B44,$B44,('20년간40%'!J46+$C$60)),-1)</f>
        <v>914550</v>
      </c>
      <c r="K44" s="31"/>
      <c r="L44" s="8">
        <v>38</v>
      </c>
      <c r="M44" s="9">
        <v>2540000</v>
      </c>
      <c r="N44" s="9">
        <f t="shared" si="1"/>
        <v>228600</v>
      </c>
      <c r="O44" s="14">
        <f t="shared" si="11"/>
        <v>654610</v>
      </c>
      <c r="P44" s="14">
        <f t="shared" si="12"/>
        <v>523690</v>
      </c>
      <c r="Q44" s="14">
        <f t="shared" si="13"/>
        <v>392760</v>
      </c>
      <c r="R44" s="33">
        <f t="shared" si="5"/>
        <v>17674640</v>
      </c>
      <c r="S44" s="31"/>
      <c r="T44" s="8">
        <v>38</v>
      </c>
      <c r="U44" s="9">
        <v>2540000</v>
      </c>
      <c r="V44" s="9">
        <f t="shared" si="6"/>
        <v>228600</v>
      </c>
      <c r="W44" s="14">
        <f t="shared" si="14"/>
        <v>261840</v>
      </c>
      <c r="X44" s="14">
        <f t="shared" si="15"/>
        <v>327300</v>
      </c>
      <c r="Y44" s="14">
        <f t="shared" si="16"/>
        <v>654610</v>
      </c>
      <c r="Z44" s="37">
        <f t="shared" si="17"/>
        <v>589150</v>
      </c>
    </row>
    <row r="45" spans="1:26" ht="13.5">
      <c r="A45" s="8">
        <v>38</v>
      </c>
      <c r="B45" s="9">
        <v>2670000</v>
      </c>
      <c r="C45" s="9">
        <f t="shared" si="0"/>
        <v>240300</v>
      </c>
      <c r="D45" s="9">
        <f>ROUNDDOWN(IF(('20년간40%'!D47+$C$60)&gt;$B45,$B45,('20년간40%'!D47+$C$60)),-1)</f>
        <v>259810</v>
      </c>
      <c r="E45" s="9">
        <f>ROUNDDOWN(IF(('20년간40%'!E47+$C$60)&gt;$B45,$B45,('20년간40%'!E47+$C$60)),-1)</f>
        <v>379190</v>
      </c>
      <c r="F45" s="9">
        <f>ROUNDDOWN(IF(('20년간40%'!F47+$C$60)&gt;$B45,$B45,('20년간40%'!F47+$C$60)),-1)</f>
        <v>492380</v>
      </c>
      <c r="G45" s="9">
        <f>ROUNDDOWN(IF(('20년간40%'!G47+$C$60)&gt;$B45,$B45,('20년간40%'!G47+$C$60)),-1)</f>
        <v>604730</v>
      </c>
      <c r="H45" s="9">
        <f>ROUNDDOWN(IF(('20년간40%'!H47+$C$60)&gt;$B45,$B45,('20년간40%'!H47+$C$60)),-1)</f>
        <v>717090</v>
      </c>
      <c r="I45" s="9">
        <f>ROUNDDOWN(IF(('20년간40%'!I47+$C$60)&gt;$B45,$B45,('20년간40%'!I47+$C$60)),-1)</f>
        <v>829440</v>
      </c>
      <c r="J45" s="57">
        <f>ROUNDDOWN(IF(('20년간40%'!J47+$C$60)&gt;$B45,$B45,('20년간40%'!J47+$C$60)),-1)</f>
        <v>941790</v>
      </c>
      <c r="K45" s="31"/>
      <c r="L45" s="8">
        <v>39</v>
      </c>
      <c r="M45" s="9">
        <v>2670000</v>
      </c>
      <c r="N45" s="9">
        <f t="shared" si="1"/>
        <v>240300</v>
      </c>
      <c r="O45" s="14">
        <f t="shared" si="11"/>
        <v>674110</v>
      </c>
      <c r="P45" s="14">
        <f t="shared" si="12"/>
        <v>539290</v>
      </c>
      <c r="Q45" s="14">
        <f t="shared" si="13"/>
        <v>404460</v>
      </c>
      <c r="R45" s="33">
        <f t="shared" si="5"/>
        <v>18201140</v>
      </c>
      <c r="S45" s="31"/>
      <c r="T45" s="8">
        <v>39</v>
      </c>
      <c r="U45" s="9">
        <v>2670000</v>
      </c>
      <c r="V45" s="9">
        <f t="shared" si="6"/>
        <v>240300</v>
      </c>
      <c r="W45" s="14">
        <f t="shared" si="14"/>
        <v>269640</v>
      </c>
      <c r="X45" s="14">
        <f t="shared" si="15"/>
        <v>337050</v>
      </c>
      <c r="Y45" s="14">
        <f t="shared" si="16"/>
        <v>674110</v>
      </c>
      <c r="Z45" s="37">
        <f t="shared" si="17"/>
        <v>606700</v>
      </c>
    </row>
    <row r="46" spans="1:26" ht="13.5">
      <c r="A46" s="47">
        <v>39</v>
      </c>
      <c r="B46" s="48">
        <v>2800000</v>
      </c>
      <c r="C46" s="48">
        <f t="shared" si="0"/>
        <v>252000</v>
      </c>
      <c r="D46" s="48">
        <f>ROUNDDOWN(IF(('20년간40%'!D48+$C$60)&gt;$B46,$B46,('20년간40%'!D48+$C$60)),-1)</f>
        <v>267330</v>
      </c>
      <c r="E46" s="48">
        <f>ROUNDDOWN(IF(('20년간40%'!E48+$C$60)&gt;$B46,$B46,('20년간40%'!E48+$C$60)),-1)</f>
        <v>390150</v>
      </c>
      <c r="F46" s="48">
        <f>ROUNDDOWN(IF(('20년간40%'!F48+$C$60)&gt;$B46,$B46,('20년간40%'!F48+$C$60)),-1)</f>
        <v>506620</v>
      </c>
      <c r="G46" s="48">
        <f>ROUNDDOWN(IF(('20년간40%'!G48+$C$60)&gt;$B46,$B46,('20년간40%'!G48+$C$60)),-1)</f>
        <v>622230</v>
      </c>
      <c r="H46" s="48">
        <f>ROUNDDOWN(IF(('20년간40%'!H48+$C$60)&gt;$B46,$B46,('20년간40%'!H48+$C$60)),-1)</f>
        <v>737830</v>
      </c>
      <c r="I46" s="48">
        <f>ROUNDDOWN(IF(('20년간40%'!I48+$C$60)&gt;$B46,$B46,('20년간40%'!I48+$C$60)),-1)</f>
        <v>853430</v>
      </c>
      <c r="J46" s="58">
        <f>ROUNDDOWN(IF(('20년간40%'!J48+$C$60)&gt;$B46,$B46,('20년간40%'!J48+$C$60)),-1)</f>
        <v>969030</v>
      </c>
      <c r="K46" s="31"/>
      <c r="L46" s="13">
        <v>40</v>
      </c>
      <c r="M46" s="14">
        <v>2800000</v>
      </c>
      <c r="N46" s="14">
        <f t="shared" si="1"/>
        <v>252000</v>
      </c>
      <c r="O46" s="14">
        <f t="shared" si="11"/>
        <v>693610</v>
      </c>
      <c r="P46" s="14">
        <f t="shared" si="12"/>
        <v>554890</v>
      </c>
      <c r="Q46" s="14">
        <f t="shared" si="13"/>
        <v>416160</v>
      </c>
      <c r="R46" s="33">
        <f t="shared" si="5"/>
        <v>18727640</v>
      </c>
      <c r="S46" s="31"/>
      <c r="T46" s="13">
        <v>40</v>
      </c>
      <c r="U46" s="14">
        <v>2800000</v>
      </c>
      <c r="V46" s="14">
        <f t="shared" si="6"/>
        <v>252000</v>
      </c>
      <c r="W46" s="14">
        <f t="shared" si="14"/>
        <v>277440</v>
      </c>
      <c r="X46" s="14">
        <f t="shared" si="15"/>
        <v>346800</v>
      </c>
      <c r="Y46" s="14">
        <f t="shared" si="16"/>
        <v>693610</v>
      </c>
      <c r="Z46" s="37">
        <f t="shared" si="17"/>
        <v>624250</v>
      </c>
    </row>
    <row r="47" spans="1:26" ht="13.5">
      <c r="A47" s="13">
        <v>40</v>
      </c>
      <c r="B47" s="14">
        <v>2940000</v>
      </c>
      <c r="C47" s="14">
        <f t="shared" si="0"/>
        <v>264600</v>
      </c>
      <c r="D47" s="14">
        <f>ROUNDDOWN(IF(('20년간40%'!D49+$C$60)&gt;$B47,$B47,('20년간40%'!D49+$C$60)),-1)</f>
        <v>275420</v>
      </c>
      <c r="E47" s="14">
        <f>ROUNDDOWN(IF(('20년간40%'!E49+$C$60)&gt;$B47,$B47,('20년간40%'!E49+$C$60)),-1)</f>
        <v>401970</v>
      </c>
      <c r="F47" s="14">
        <f>ROUNDDOWN(IF(('20년간40%'!F49+$C$60)&gt;$B47,$B47,('20년간40%'!F49+$C$60)),-1)</f>
        <v>521960</v>
      </c>
      <c r="G47" s="14">
        <f>ROUNDDOWN(IF(('20년간40%'!G49+$C$60)&gt;$B47,$B47,('20년간40%'!G49+$C$60)),-1)</f>
        <v>641070</v>
      </c>
      <c r="H47" s="14">
        <f>ROUNDDOWN(IF(('20년간40%'!H49+$C$60)&gt;$B47,$B47,('20년간40%'!H49+$C$60)),-1)</f>
        <v>760170</v>
      </c>
      <c r="I47" s="14">
        <f>ROUNDDOWN(IF(('20년간40%'!I49+$C$60)&gt;$B47,$B47,('20년간40%'!I49+$C$60)),-1)</f>
        <v>879270</v>
      </c>
      <c r="J47" s="37">
        <f>ROUNDDOWN(IF(('20년간40%'!J49+$C$60)&gt;$B47,$B47,('20년간40%'!J49+$C$60)),-1)</f>
        <v>998370</v>
      </c>
      <c r="K47" s="31"/>
      <c r="L47" s="8">
        <v>41</v>
      </c>
      <c r="M47" s="9">
        <v>2940000</v>
      </c>
      <c r="N47" s="9">
        <f t="shared" si="1"/>
        <v>264600</v>
      </c>
      <c r="O47" s="14">
        <f t="shared" si="11"/>
        <v>714610</v>
      </c>
      <c r="P47" s="14">
        <f t="shared" si="12"/>
        <v>571690</v>
      </c>
      <c r="Q47" s="14">
        <f t="shared" si="13"/>
        <v>428760</v>
      </c>
      <c r="R47" s="33">
        <f t="shared" si="5"/>
        <v>19294640</v>
      </c>
      <c r="S47" s="31"/>
      <c r="T47" s="8">
        <v>41</v>
      </c>
      <c r="U47" s="9">
        <v>2940000</v>
      </c>
      <c r="V47" s="9">
        <f t="shared" si="6"/>
        <v>264600</v>
      </c>
      <c r="W47" s="14">
        <f t="shared" si="14"/>
        <v>285840</v>
      </c>
      <c r="X47" s="14">
        <f t="shared" si="15"/>
        <v>357300</v>
      </c>
      <c r="Y47" s="14">
        <f t="shared" si="16"/>
        <v>714610</v>
      </c>
      <c r="Z47" s="37">
        <f t="shared" si="17"/>
        <v>643150</v>
      </c>
    </row>
    <row r="48" spans="1:26" ht="13.5">
      <c r="A48" s="8">
        <v>41</v>
      </c>
      <c r="B48" s="9">
        <v>3080000</v>
      </c>
      <c r="C48" s="9">
        <f t="shared" si="0"/>
        <v>277200</v>
      </c>
      <c r="D48" s="9">
        <f>ROUNDDOWN(IF(('20년간40%'!D50+$C$60)&gt;$B48,$B48,('20년간40%'!D50+$C$60)),-1)</f>
        <v>283510</v>
      </c>
      <c r="E48" s="9">
        <f>ROUNDDOWN(IF(('20년간40%'!E50+$C$60)&gt;$B48,$B48,('20년간40%'!E50+$C$60)),-1)</f>
        <v>413780</v>
      </c>
      <c r="F48" s="9">
        <f>ROUNDDOWN(IF(('20년간40%'!F50+$C$60)&gt;$B48,$B48,('20년간40%'!F50+$C$60)),-1)</f>
        <v>537300</v>
      </c>
      <c r="G48" s="9">
        <f>ROUNDDOWN(IF(('20년간40%'!G50+$C$60)&gt;$B48,$B48,('20년간40%'!G50+$C$60)),-1)</f>
        <v>659900</v>
      </c>
      <c r="H48" s="9">
        <f>ROUNDDOWN(IF(('20년간40%'!H50+$C$60)&gt;$B48,$B48,('20년간40%'!H50+$C$60)),-1)</f>
        <v>782510</v>
      </c>
      <c r="I48" s="9">
        <f>ROUNDDOWN(IF(('20년간40%'!I50+$C$60)&gt;$B48,$B48,('20년간40%'!I50+$C$60)),-1)</f>
        <v>905110</v>
      </c>
      <c r="J48" s="57">
        <f>ROUNDDOWN(IF(('20년간40%'!J50+$C$60)&gt;$B48,$B48,('20년간40%'!J50+$C$60)),-1)</f>
        <v>1027710</v>
      </c>
      <c r="K48" s="31"/>
      <c r="L48" s="8">
        <v>42</v>
      </c>
      <c r="M48" s="9">
        <v>3080000</v>
      </c>
      <c r="N48" s="9">
        <f t="shared" si="1"/>
        <v>277200</v>
      </c>
      <c r="O48" s="14">
        <f t="shared" si="11"/>
        <v>735610</v>
      </c>
      <c r="P48" s="14">
        <f t="shared" si="12"/>
        <v>588490</v>
      </c>
      <c r="Q48" s="14">
        <f t="shared" si="13"/>
        <v>441360</v>
      </c>
      <c r="R48" s="33">
        <f t="shared" si="5"/>
        <v>19861640</v>
      </c>
      <c r="S48" s="31"/>
      <c r="T48" s="8">
        <v>42</v>
      </c>
      <c r="U48" s="9">
        <v>3080000</v>
      </c>
      <c r="V48" s="9">
        <f t="shared" si="6"/>
        <v>277200</v>
      </c>
      <c r="W48" s="14">
        <f t="shared" si="14"/>
        <v>294240</v>
      </c>
      <c r="X48" s="14">
        <f t="shared" si="15"/>
        <v>367800</v>
      </c>
      <c r="Y48" s="14">
        <f t="shared" si="16"/>
        <v>735610</v>
      </c>
      <c r="Z48" s="37">
        <f t="shared" si="17"/>
        <v>662050</v>
      </c>
    </row>
    <row r="49" spans="1:26" ht="13.5">
      <c r="A49" s="8">
        <v>42</v>
      </c>
      <c r="B49" s="9">
        <v>3230000</v>
      </c>
      <c r="C49" s="9">
        <f t="shared" si="0"/>
        <v>290700</v>
      </c>
      <c r="D49" s="9">
        <f>ROUNDDOWN(IF(('20년간40%'!D51+$C$60)&gt;$B49,$B49,('20년간40%'!D51+$C$60)),-1)</f>
        <v>292190</v>
      </c>
      <c r="E49" s="9">
        <f>ROUNDDOWN(IF(('20년간40%'!E51+$C$60)&gt;$B49,$B49,('20년간40%'!E51+$C$60)),-1)</f>
        <v>426440</v>
      </c>
      <c r="F49" s="9">
        <f>ROUNDDOWN(IF(('20년간40%'!F51+$C$60)&gt;$B49,$B49,('20년간40%'!F51+$C$60)),-1)</f>
        <v>553740</v>
      </c>
      <c r="G49" s="9">
        <f>ROUNDDOWN(IF(('20년간40%'!G51+$C$60)&gt;$B49,$B49,('20년간40%'!G51+$C$60)),-1)</f>
        <v>680090</v>
      </c>
      <c r="H49" s="9">
        <f>ROUNDDOWN(IF(('20년간40%'!H51+$C$60)&gt;$B49,$B49,('20년간40%'!H51+$C$60)),-1)</f>
        <v>806440</v>
      </c>
      <c r="I49" s="9">
        <f>ROUNDDOWN(IF(('20년간40%'!I51+$C$60)&gt;$B49,$B49,('20년간40%'!I51+$C$60)),-1)</f>
        <v>932790</v>
      </c>
      <c r="J49" s="57">
        <f>ROUNDDOWN(IF(('20년간40%'!J51+$C$60)&gt;$B49,$B49,('20년간40%'!J51+$C$60)),-1)</f>
        <v>1059150</v>
      </c>
      <c r="K49" s="31"/>
      <c r="L49" s="8">
        <v>43</v>
      </c>
      <c r="M49" s="9">
        <v>3230000</v>
      </c>
      <c r="N49" s="9">
        <f t="shared" si="1"/>
        <v>290700</v>
      </c>
      <c r="O49" s="14">
        <f t="shared" si="11"/>
        <v>758110</v>
      </c>
      <c r="P49" s="14">
        <f t="shared" si="12"/>
        <v>606490</v>
      </c>
      <c r="Q49" s="14">
        <f t="shared" si="13"/>
        <v>454860</v>
      </c>
      <c r="R49" s="33">
        <f t="shared" si="5"/>
        <v>20469140</v>
      </c>
      <c r="S49" s="31"/>
      <c r="T49" s="8">
        <v>43</v>
      </c>
      <c r="U49" s="9">
        <v>3230000</v>
      </c>
      <c r="V49" s="9">
        <f t="shared" si="6"/>
        <v>290700</v>
      </c>
      <c r="W49" s="14">
        <f t="shared" si="14"/>
        <v>303240</v>
      </c>
      <c r="X49" s="14">
        <f t="shared" si="15"/>
        <v>379050</v>
      </c>
      <c r="Y49" s="14">
        <f t="shared" si="16"/>
        <v>758110</v>
      </c>
      <c r="Z49" s="37">
        <f t="shared" si="17"/>
        <v>682300</v>
      </c>
    </row>
    <row r="50" spans="1:26" ht="13.5">
      <c r="A50" s="8">
        <v>43</v>
      </c>
      <c r="B50" s="9">
        <v>3380000</v>
      </c>
      <c r="C50" s="9">
        <f t="shared" si="0"/>
        <v>304200</v>
      </c>
      <c r="D50" s="9">
        <f>ROUNDDOWN(IF(('20년간40%'!D52+$C$60)&gt;$B50,$B50,('20년간40%'!D52+$C$60)),-1)</f>
        <v>300860</v>
      </c>
      <c r="E50" s="9">
        <f>ROUNDDOWN(IF(('20년간40%'!E52+$C$60)&gt;$B50,$B50,('20년간40%'!E52+$C$60)),-1)</f>
        <v>439090</v>
      </c>
      <c r="F50" s="9">
        <f>ROUNDDOWN(IF(('20년간40%'!F52+$C$60)&gt;$B50,$B50,('20년간40%'!F52+$C$60)),-1)</f>
        <v>570170</v>
      </c>
      <c r="G50" s="9">
        <f>ROUNDDOWN(IF(('20년간40%'!G52+$C$60)&gt;$B50,$B50,('20년간40%'!G52+$C$60)),-1)</f>
        <v>700270</v>
      </c>
      <c r="H50" s="9">
        <f>ROUNDDOWN(IF(('20년간40%'!H52+$C$60)&gt;$B50,$B50,('20년간40%'!H52+$C$60)),-1)</f>
        <v>830380</v>
      </c>
      <c r="I50" s="9">
        <f>ROUNDDOWN(IF(('20년간40%'!I52+$C$60)&gt;$B50,$B50,('20년간40%'!I52+$C$60)),-1)</f>
        <v>960480</v>
      </c>
      <c r="J50" s="57">
        <f>ROUNDDOWN(IF(('20년간40%'!J52+$C$60)&gt;$B50,$B50,('20년간40%'!J52+$C$60)),-1)</f>
        <v>1090580</v>
      </c>
      <c r="K50" s="31"/>
      <c r="L50" s="8">
        <v>44</v>
      </c>
      <c r="M50" s="9">
        <v>3380000</v>
      </c>
      <c r="N50" s="9">
        <f t="shared" si="1"/>
        <v>304200</v>
      </c>
      <c r="O50" s="14">
        <f t="shared" si="11"/>
        <v>780610</v>
      </c>
      <c r="P50" s="14">
        <f t="shared" si="12"/>
        <v>624490</v>
      </c>
      <c r="Q50" s="14">
        <f t="shared" si="13"/>
        <v>468360</v>
      </c>
      <c r="R50" s="33">
        <f t="shared" si="5"/>
        <v>21076640</v>
      </c>
      <c r="S50" s="31"/>
      <c r="T50" s="8">
        <v>44</v>
      </c>
      <c r="U50" s="9">
        <v>3380000</v>
      </c>
      <c r="V50" s="9">
        <f t="shared" si="6"/>
        <v>304200</v>
      </c>
      <c r="W50" s="14">
        <f t="shared" si="14"/>
        <v>312240</v>
      </c>
      <c r="X50" s="14">
        <f t="shared" si="15"/>
        <v>390300</v>
      </c>
      <c r="Y50" s="14">
        <f t="shared" si="16"/>
        <v>780610</v>
      </c>
      <c r="Z50" s="37">
        <f t="shared" si="17"/>
        <v>702550</v>
      </c>
    </row>
    <row r="51" spans="1:26" ht="14.25" thickBot="1">
      <c r="A51" s="47">
        <v>44</v>
      </c>
      <c r="B51" s="48">
        <v>3600000</v>
      </c>
      <c r="C51" s="48">
        <f t="shared" si="0"/>
        <v>324000</v>
      </c>
      <c r="D51" s="48">
        <f>ROUNDDOWN(IF(('20년간40%'!D53+$C$60)&gt;$B51,$B51,('20년간40%'!D53+$C$60)),-1)</f>
        <v>313580</v>
      </c>
      <c r="E51" s="48">
        <f>ROUNDDOWN(IF(('20년간40%'!E53+$C$60)&gt;$B51,$B51,('20년간40%'!E53+$C$60)),-1)</f>
        <v>457650</v>
      </c>
      <c r="F51" s="48">
        <f>ROUNDDOWN(IF(('20년간40%'!F53+$C$60)&gt;$B51,$B51,('20년간40%'!F53+$C$60)),-1)</f>
        <v>594270</v>
      </c>
      <c r="G51" s="48">
        <f>ROUNDDOWN(IF(('20년간40%'!G53+$C$60)&gt;$B51,$B51,('20년간40%'!G53+$C$60)),-1)</f>
        <v>729880</v>
      </c>
      <c r="H51" s="48">
        <f>ROUNDDOWN(IF(('20년간40%'!H53+$C$60)&gt;$B51,$B51,('20년간40%'!H53+$C$60)),-1)</f>
        <v>865480</v>
      </c>
      <c r="I51" s="48">
        <f>ROUNDDOWN(IF(('20년간40%'!I53+$C$60)&gt;$B51,$B51,('20년간40%'!I53+$C$60)),-1)</f>
        <v>1001080</v>
      </c>
      <c r="J51" s="58">
        <f>ROUNDDOWN(IF(('20년간40%'!J53+$C$60)&gt;$B51,$B51,('20년간40%'!J53+$C$60)),-1)</f>
        <v>1136680</v>
      </c>
      <c r="K51" s="31"/>
      <c r="L51" s="15">
        <v>45</v>
      </c>
      <c r="M51" s="16">
        <v>3600000</v>
      </c>
      <c r="N51" s="16">
        <f t="shared" si="1"/>
        <v>324000</v>
      </c>
      <c r="O51" s="16">
        <f t="shared" si="11"/>
        <v>813610</v>
      </c>
      <c r="P51" s="16">
        <f t="shared" si="12"/>
        <v>650890</v>
      </c>
      <c r="Q51" s="16">
        <f t="shared" si="13"/>
        <v>488160</v>
      </c>
      <c r="R51" s="34">
        <f t="shared" si="5"/>
        <v>21967640</v>
      </c>
      <c r="S51" s="31"/>
      <c r="T51" s="15">
        <v>45</v>
      </c>
      <c r="U51" s="16">
        <v>3600000</v>
      </c>
      <c r="V51" s="16">
        <f t="shared" si="6"/>
        <v>324000</v>
      </c>
      <c r="W51" s="16">
        <f t="shared" si="14"/>
        <v>325440</v>
      </c>
      <c r="X51" s="16">
        <f t="shared" si="15"/>
        <v>406800</v>
      </c>
      <c r="Y51" s="16">
        <f t="shared" si="16"/>
        <v>813610</v>
      </c>
      <c r="Z51" s="38">
        <f t="shared" si="17"/>
        <v>732250</v>
      </c>
    </row>
    <row r="52" spans="1:26" ht="15" thickBot="1" thickTop="1">
      <c r="A52" s="13">
        <v>45</v>
      </c>
      <c r="B52" s="14">
        <v>3680000</v>
      </c>
      <c r="C52" s="14">
        <f t="shared" si="0"/>
        <v>331200</v>
      </c>
      <c r="D52" s="14">
        <f>ROUNDDOWN(IF(('20년간40%'!D54+$C$60)&gt;$B52,$B52,('20년간40%'!D54+$C$60)),-1)</f>
        <v>318200</v>
      </c>
      <c r="E52" s="14">
        <f>ROUNDDOWN(IF(('20년간40%'!E54+$C$60)&gt;$B52,$B52,('20년간40%'!E54+$C$60)),-1)</f>
        <v>464400</v>
      </c>
      <c r="F52" s="14">
        <f>ROUNDDOWN(IF(('20년간40%'!F54+$C$60)&gt;$B52,$B52,('20년간40%'!F54+$C$60)),-1)</f>
        <v>603040</v>
      </c>
      <c r="G52" s="14">
        <f>ROUNDDOWN(IF(('20년간40%'!G54+$C$60)&gt;$B52,$B52,('20년간40%'!G54+$C$60)),-1)</f>
        <v>740640</v>
      </c>
      <c r="H52" s="14">
        <f>ROUNDDOWN(IF(('20년간40%'!H54+$C$60)&gt;$B52,$B52,('20년간40%'!H54+$C$60)),-1)</f>
        <v>878240</v>
      </c>
      <c r="I52" s="14">
        <f>ROUNDDOWN(IF(('20년간40%'!I54+$C$60)&gt;$B52,$B52,('20년간40%'!I54+$C$60)),-1)</f>
        <v>1015850</v>
      </c>
      <c r="J52" s="37">
        <f>ROUNDDOWN(IF(('20년간40%'!J54+$C$60)&gt;$B52,$B52,('20년간40%'!J54+$C$60)),-1)</f>
        <v>1153450</v>
      </c>
      <c r="K52" s="31"/>
      <c r="L52" s="15">
        <v>45</v>
      </c>
      <c r="M52" s="16">
        <v>3600000</v>
      </c>
      <c r="N52" s="16">
        <f t="shared" si="1"/>
        <v>324000</v>
      </c>
      <c r="O52" s="16">
        <f t="shared" si="11"/>
        <v>813610</v>
      </c>
      <c r="P52" s="16">
        <f t="shared" si="12"/>
        <v>650890</v>
      </c>
      <c r="Q52" s="16">
        <f t="shared" si="13"/>
        <v>488160</v>
      </c>
      <c r="R52" s="34">
        <f t="shared" si="5"/>
        <v>21967640</v>
      </c>
      <c r="S52" s="31"/>
      <c r="T52" s="15">
        <v>45</v>
      </c>
      <c r="U52" s="16">
        <v>3600000</v>
      </c>
      <c r="V52" s="16">
        <f t="shared" si="6"/>
        <v>324000</v>
      </c>
      <c r="W52" s="16">
        <f t="shared" si="14"/>
        <v>325440</v>
      </c>
      <c r="X52" s="16">
        <f t="shared" si="15"/>
        <v>406800</v>
      </c>
      <c r="Y52" s="16">
        <f t="shared" si="16"/>
        <v>813610</v>
      </c>
      <c r="Z52" s="38">
        <f t="shared" si="17"/>
        <v>732250</v>
      </c>
    </row>
    <row r="53" spans="1:26" ht="15" thickBot="1" thickTop="1">
      <c r="A53" s="15">
        <v>46</v>
      </c>
      <c r="B53" s="16">
        <v>3750000</v>
      </c>
      <c r="C53" s="46">
        <f t="shared" si="0"/>
        <v>337500</v>
      </c>
      <c r="D53" s="46">
        <f>ROUNDDOWN(IF(('20년간40%'!D55+$C$60)&gt;$B53,$B53,('20년간40%'!D55+$C$60)),-1)</f>
        <v>322050</v>
      </c>
      <c r="E53" s="46">
        <f>ROUNDDOWN(IF(('20년간40%'!E55+$C$60)&gt;$B53,$B53,('20년간40%'!E55+$C$60)),-1)</f>
        <v>470110</v>
      </c>
      <c r="F53" s="46">
        <f>ROUNDDOWN(IF(('20년간40%'!F55+$C$60)&gt;$B53,$B53,('20년간40%'!F55+$C$60)),-1)</f>
        <v>610520</v>
      </c>
      <c r="G53" s="46">
        <f>ROUNDDOWN(IF(('20년간40%'!G55+$C$60)&gt;$B53,$B53,('20년간40%'!G55+$C$60)),-1)</f>
        <v>749870</v>
      </c>
      <c r="H53" s="46">
        <f>ROUNDDOWN(IF(('20년간40%'!H55+$C$60)&gt;$B53,$B53,('20년간40%'!H55+$C$60)),-1)</f>
        <v>889230</v>
      </c>
      <c r="I53" s="46">
        <f>ROUNDDOWN(IF(('20년간40%'!I55+$C$60)&gt;$B53,$B53,('20년간40%'!I55+$C$60)),-1)</f>
        <v>1028580</v>
      </c>
      <c r="J53" s="71">
        <f>ROUNDDOWN(IF(('20년간40%'!J55+$C$60)&gt;$B53,$B53,('20년간40%'!J55+$C$60)),-1)</f>
        <v>1167940</v>
      </c>
      <c r="K53" s="31"/>
      <c r="L53" s="70"/>
      <c r="M53" s="70"/>
      <c r="N53" s="70"/>
      <c r="O53" s="70"/>
      <c r="P53" s="70"/>
      <c r="Q53" s="70"/>
      <c r="R53" s="70"/>
      <c r="S53" s="31"/>
      <c r="T53" s="70"/>
      <c r="U53" s="70"/>
      <c r="V53" s="70"/>
      <c r="W53" s="70"/>
      <c r="X53" s="70"/>
      <c r="Y53" s="70"/>
      <c r="Z53" s="70"/>
    </row>
    <row r="54" spans="11:19" ht="14.25" customHeight="1" thickTop="1">
      <c r="K54" s="31"/>
      <c r="S54" s="31"/>
    </row>
    <row r="55" spans="1:27" s="19" customFormat="1" ht="91.5" customHeight="1">
      <c r="A55" s="17" t="s">
        <v>0</v>
      </c>
      <c r="B55" s="84" t="s">
        <v>98</v>
      </c>
      <c r="C55" s="84"/>
      <c r="D55" s="84"/>
      <c r="E55" s="84"/>
      <c r="F55" s="84"/>
      <c r="G55" s="84"/>
      <c r="H55" s="84"/>
      <c r="I55" s="84"/>
      <c r="J55" s="84"/>
      <c r="K55" s="31"/>
      <c r="L55" s="17" t="s">
        <v>0</v>
      </c>
      <c r="M55" s="84" t="s">
        <v>69</v>
      </c>
      <c r="N55" s="84"/>
      <c r="O55" s="84"/>
      <c r="P55" s="84"/>
      <c r="Q55" s="84"/>
      <c r="R55" s="84"/>
      <c r="S55" s="31"/>
      <c r="T55" s="17" t="s">
        <v>0</v>
      </c>
      <c r="U55" s="84" t="s">
        <v>70</v>
      </c>
      <c r="V55" s="84"/>
      <c r="W55" s="84"/>
      <c r="X55" s="84"/>
      <c r="Y55" s="84"/>
      <c r="Z55" s="84"/>
      <c r="AA55" s="1"/>
    </row>
    <row r="56" spans="2:27" ht="13.5" customHeight="1">
      <c r="B56" s="11" t="s">
        <v>93</v>
      </c>
      <c r="C56" s="11" t="s">
        <v>3</v>
      </c>
      <c r="D56" s="11" t="s">
        <v>4</v>
      </c>
      <c r="K56" s="35"/>
      <c r="M56" s="10" t="s">
        <v>71</v>
      </c>
      <c r="N56" s="10" t="s">
        <v>72</v>
      </c>
      <c r="O56" s="10" t="s">
        <v>73</v>
      </c>
      <c r="S56" s="36"/>
      <c r="U56" s="10" t="s">
        <v>71</v>
      </c>
      <c r="V56" s="10" t="s">
        <v>72</v>
      </c>
      <c r="W56" s="10" t="s">
        <v>73</v>
      </c>
      <c r="AA56" s="18"/>
    </row>
    <row r="57" spans="2:23" ht="13.5">
      <c r="B57" s="10" t="s">
        <v>5</v>
      </c>
      <c r="C57" s="10">
        <v>227270</v>
      </c>
      <c r="D57" s="10">
        <v>0</v>
      </c>
      <c r="K57" s="31"/>
      <c r="M57" s="10" t="s">
        <v>74</v>
      </c>
      <c r="N57" s="10">
        <v>200220</v>
      </c>
      <c r="O57" s="10">
        <v>0</v>
      </c>
      <c r="S57" s="31"/>
      <c r="U57" s="10" t="s">
        <v>74</v>
      </c>
      <c r="V57" s="10">
        <v>200220</v>
      </c>
      <c r="W57" s="10">
        <v>0</v>
      </c>
    </row>
    <row r="58" spans="2:23" ht="13.5">
      <c r="B58" s="10" t="s">
        <v>6</v>
      </c>
      <c r="C58" s="10">
        <v>151490</v>
      </c>
      <c r="D58" s="10">
        <v>0</v>
      </c>
      <c r="K58" s="31"/>
      <c r="M58" s="10" t="s">
        <v>75</v>
      </c>
      <c r="N58" s="10">
        <v>133470</v>
      </c>
      <c r="O58" s="10">
        <v>0</v>
      </c>
      <c r="S58" s="31"/>
      <c r="U58" s="10" t="s">
        <v>75</v>
      </c>
      <c r="V58" s="10">
        <v>133470</v>
      </c>
      <c r="W58" s="10">
        <v>0</v>
      </c>
    </row>
    <row r="59" spans="2:23" ht="13.5">
      <c r="B59" s="10" t="s">
        <v>7</v>
      </c>
      <c r="C59" s="10">
        <v>151490</v>
      </c>
      <c r="D59" s="10">
        <v>0</v>
      </c>
      <c r="K59" s="31"/>
      <c r="M59" s="10" t="s">
        <v>76</v>
      </c>
      <c r="N59" s="10">
        <v>133470</v>
      </c>
      <c r="O59" s="10">
        <v>0</v>
      </c>
      <c r="S59" s="31"/>
      <c r="U59" s="10" t="s">
        <v>76</v>
      </c>
      <c r="V59" s="10">
        <v>133470</v>
      </c>
      <c r="W59" s="10">
        <v>0</v>
      </c>
    </row>
    <row r="60" spans="3:22" ht="13.5">
      <c r="C60" s="1">
        <f>(C57*D57+C58*D58+C59*D59)/12</f>
        <v>0</v>
      </c>
      <c r="K60" s="31"/>
      <c r="N60" s="1">
        <f>(N57*O57+N58*O58+N59*O59)/12</f>
        <v>0</v>
      </c>
      <c r="S60" s="31"/>
      <c r="V60" s="1">
        <f>(V57*W57+V58*W58+V59*W59)/12</f>
        <v>0</v>
      </c>
    </row>
    <row r="61" ht="13.5"/>
    <row r="62" ht="13.5"/>
    <row r="63" ht="13.5"/>
    <row r="64" ht="13.5"/>
    <row r="65" ht="13.5"/>
    <row r="66" ht="13.5"/>
    <row r="67" ht="13.5"/>
    <row r="68" ht="13.5"/>
    <row r="69" ht="13.5"/>
    <row r="70" ht="13.5"/>
    <row r="71" ht="13.5"/>
    <row r="72" ht="13.5"/>
    <row r="75" ht="13.5"/>
  </sheetData>
  <sheetProtection/>
  <mergeCells count="15">
    <mergeCell ref="A5:A6"/>
    <mergeCell ref="B55:J55"/>
    <mergeCell ref="B5:B6"/>
    <mergeCell ref="D5:J5"/>
    <mergeCell ref="U55:Z55"/>
    <mergeCell ref="L5:L6"/>
    <mergeCell ref="M5:M6"/>
    <mergeCell ref="O5:O6"/>
    <mergeCell ref="P5:P6"/>
    <mergeCell ref="Q5:Q6"/>
    <mergeCell ref="R5:R6"/>
    <mergeCell ref="W5:Z5"/>
    <mergeCell ref="U5:U6"/>
    <mergeCell ref="T5:T6"/>
    <mergeCell ref="M55:R55"/>
  </mergeCells>
  <printOptions horizontalCentered="1" verticalCentered="1"/>
  <pageMargins left="0.3937007874015748" right="0.3937007874015748" top="0.4724409448818898" bottom="0.4724409448818898" header="0" footer="0"/>
  <pageSetup horizontalDpi="400" verticalDpi="400" orientation="portrait" paperSize="9" scale="78"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G60"/>
  <sheetViews>
    <sheetView zoomScalePageLayoutView="0" workbookViewId="0" topLeftCell="A16">
      <selection activeCell="C34" sqref="C34"/>
    </sheetView>
  </sheetViews>
  <sheetFormatPr defaultColWidth="9.00390625" defaultRowHeight="14.25"/>
  <cols>
    <col min="1" max="1" width="5.375" style="1" customWidth="1"/>
    <col min="2" max="2" width="17.875" style="1" customWidth="1"/>
    <col min="3" max="7" width="15.25390625" style="1" customWidth="1"/>
  </cols>
  <sheetData>
    <row r="1" ht="13.5"/>
    <row r="2" spans="2:3" ht="13.5">
      <c r="B2" s="2"/>
      <c r="C2" s="2"/>
    </row>
    <row r="3" spans="1:3" ht="13.5">
      <c r="A3" s="3" t="s">
        <v>2</v>
      </c>
      <c r="B3" s="2"/>
      <c r="C3" s="2"/>
    </row>
    <row r="4" spans="2:7" ht="14.25" thickBot="1">
      <c r="B4" s="1">
        <v>1824109</v>
      </c>
      <c r="G4" s="30" t="s">
        <v>57</v>
      </c>
    </row>
    <row r="5" spans="1:7" ht="15" thickTop="1">
      <c r="A5" s="82" t="s">
        <v>90</v>
      </c>
      <c r="B5" s="80" t="s">
        <v>92</v>
      </c>
      <c r="C5" s="20" t="s">
        <v>79</v>
      </c>
      <c r="D5" s="73" t="s">
        <v>80</v>
      </c>
      <c r="E5" s="73" t="s">
        <v>81</v>
      </c>
      <c r="F5" s="73" t="s">
        <v>82</v>
      </c>
      <c r="G5" s="75" t="s">
        <v>83</v>
      </c>
    </row>
    <row r="6" spans="1:7" ht="15" thickBot="1">
      <c r="A6" s="83"/>
      <c r="B6" s="81"/>
      <c r="C6" s="12" t="s">
        <v>84</v>
      </c>
      <c r="D6" s="74"/>
      <c r="E6" s="74"/>
      <c r="F6" s="74"/>
      <c r="G6" s="76"/>
    </row>
    <row r="7" spans="1:7" s="50" customFormat="1" ht="14.25">
      <c r="A7" s="47">
        <v>1</v>
      </c>
      <c r="B7" s="48">
        <v>230000</v>
      </c>
      <c r="C7" s="48">
        <f aca="true" t="shared" si="0" ref="C7:C53">B7*0.09</f>
        <v>20700</v>
      </c>
      <c r="D7" s="49">
        <f>ROUNDDOWN(IF(((1.455*($B$4+$B7)/12)+$C$60)&gt;$B7,$B7,(1.455*($B$4+$B7)/12)+$C$60),-1)</f>
        <v>230000</v>
      </c>
      <c r="E7" s="48">
        <f>ROUNDDOWN(IF(((1.455*($B$4+$B7)*0.8/12)+$C$60)&gt;$B7,$B7,(1.455*($B$4+$B7)*0.8/12)+$C$60),-1)</f>
        <v>199240</v>
      </c>
      <c r="F7" s="48">
        <f>ROUNDDOWN(IF(((1.455*($B$4+$B7)*0.6/12)+$C$60)&gt;$B7,$B7,(1.455*($B$4+$B7)*0.6/12)+$C$60),-1)</f>
        <v>149430</v>
      </c>
      <c r="G7" s="58">
        <f>ROUNDDOWN(((1.455*($B$4+$B7))*2.25),-1)</f>
        <v>6724630</v>
      </c>
    </row>
    <row r="8" spans="1:7" s="50" customFormat="1" ht="14.25">
      <c r="A8" s="47">
        <v>2</v>
      </c>
      <c r="B8" s="48">
        <v>240000</v>
      </c>
      <c r="C8" s="48">
        <f t="shared" si="0"/>
        <v>21600</v>
      </c>
      <c r="D8" s="49">
        <f aca="true" t="shared" si="1" ref="D8:D53">ROUNDDOWN(IF(((1.455*($B$4+$B8)/12)+$C$60)&gt;$B8,$B8,(1.455*($B$4+$B8)/12)+$C$60),-1)</f>
        <v>240000</v>
      </c>
      <c r="E8" s="48">
        <f aca="true" t="shared" si="2" ref="E8:E53">ROUNDDOWN(IF(((1.455*($B$4+$B8)*0.8/12)+$C$60)&gt;$B8,$B8,(1.455*($B$4+$B8)*0.8/12)+$C$60),-1)</f>
        <v>200210</v>
      </c>
      <c r="F8" s="48">
        <f aca="true" t="shared" si="3" ref="F8:F53">ROUNDDOWN(IF(((1.455*($B$4+$B8)*0.6/12)+$C$60)&gt;$B8,$B8,(1.455*($B$4+$B8)*0.6/12)+$C$60),-1)</f>
        <v>150160</v>
      </c>
      <c r="G8" s="58">
        <f aca="true" t="shared" si="4" ref="G8:G53">ROUNDDOWN(((1.455*($B$4+$B8))*2.25),-1)</f>
        <v>6757370</v>
      </c>
    </row>
    <row r="9" spans="1:7" s="50" customFormat="1" ht="14.25">
      <c r="A9" s="47">
        <v>3</v>
      </c>
      <c r="B9" s="48">
        <v>250000</v>
      </c>
      <c r="C9" s="48">
        <f t="shared" si="0"/>
        <v>22500</v>
      </c>
      <c r="D9" s="49">
        <f t="shared" si="1"/>
        <v>250000</v>
      </c>
      <c r="E9" s="48">
        <f t="shared" si="2"/>
        <v>201180</v>
      </c>
      <c r="F9" s="48">
        <f t="shared" si="3"/>
        <v>150890</v>
      </c>
      <c r="G9" s="58">
        <f t="shared" si="4"/>
        <v>6790110</v>
      </c>
    </row>
    <row r="10" spans="1:7" s="50" customFormat="1" ht="14.25">
      <c r="A10" s="47">
        <v>4</v>
      </c>
      <c r="B10" s="48">
        <v>260000</v>
      </c>
      <c r="C10" s="48">
        <f t="shared" si="0"/>
        <v>23400</v>
      </c>
      <c r="D10" s="49">
        <f t="shared" si="1"/>
        <v>252690</v>
      </c>
      <c r="E10" s="48">
        <f t="shared" si="2"/>
        <v>202150</v>
      </c>
      <c r="F10" s="48">
        <f t="shared" si="3"/>
        <v>151610</v>
      </c>
      <c r="G10" s="58">
        <f t="shared" si="4"/>
        <v>6822850</v>
      </c>
    </row>
    <row r="11" spans="1:7" s="50" customFormat="1" ht="14.25">
      <c r="A11" s="13">
        <v>5</v>
      </c>
      <c r="B11" s="14">
        <v>270000</v>
      </c>
      <c r="C11" s="14">
        <f t="shared" si="0"/>
        <v>24300</v>
      </c>
      <c r="D11" s="45">
        <f t="shared" si="1"/>
        <v>253910</v>
      </c>
      <c r="E11" s="14">
        <f t="shared" si="2"/>
        <v>203120</v>
      </c>
      <c r="F11" s="14">
        <f t="shared" si="3"/>
        <v>152340</v>
      </c>
      <c r="G11" s="37">
        <f t="shared" si="4"/>
        <v>6855580</v>
      </c>
    </row>
    <row r="12" spans="1:7" s="50" customFormat="1" ht="14.25">
      <c r="A12" s="47">
        <v>6</v>
      </c>
      <c r="B12" s="48">
        <v>290000</v>
      </c>
      <c r="C12" s="48">
        <f t="shared" si="0"/>
        <v>26100</v>
      </c>
      <c r="D12" s="49">
        <f t="shared" si="1"/>
        <v>256330</v>
      </c>
      <c r="E12" s="48">
        <f t="shared" si="2"/>
        <v>205060</v>
      </c>
      <c r="F12" s="48">
        <f t="shared" si="3"/>
        <v>153800</v>
      </c>
      <c r="G12" s="58">
        <f t="shared" si="4"/>
        <v>6921060</v>
      </c>
    </row>
    <row r="13" spans="1:7" s="50" customFormat="1" ht="14.25">
      <c r="A13" s="47">
        <v>7</v>
      </c>
      <c r="B13" s="48">
        <v>310000</v>
      </c>
      <c r="C13" s="48">
        <f t="shared" si="0"/>
        <v>27900</v>
      </c>
      <c r="D13" s="49">
        <f t="shared" si="1"/>
        <v>258760</v>
      </c>
      <c r="E13" s="48">
        <f t="shared" si="2"/>
        <v>207000</v>
      </c>
      <c r="F13" s="48">
        <f t="shared" si="3"/>
        <v>155250</v>
      </c>
      <c r="G13" s="58">
        <f t="shared" si="4"/>
        <v>6986530</v>
      </c>
    </row>
    <row r="14" spans="1:7" s="50" customFormat="1" ht="14.25">
      <c r="A14" s="47">
        <v>8</v>
      </c>
      <c r="B14" s="48">
        <v>340000</v>
      </c>
      <c r="C14" s="48">
        <f t="shared" si="0"/>
        <v>30600</v>
      </c>
      <c r="D14" s="49">
        <f t="shared" si="1"/>
        <v>262390</v>
      </c>
      <c r="E14" s="48">
        <f t="shared" si="2"/>
        <v>209910</v>
      </c>
      <c r="F14" s="48">
        <f t="shared" si="3"/>
        <v>157430</v>
      </c>
      <c r="G14" s="58">
        <f t="shared" si="4"/>
        <v>7084750</v>
      </c>
    </row>
    <row r="15" spans="1:7" s="50" customFormat="1" ht="14.25">
      <c r="A15" s="47">
        <v>9</v>
      </c>
      <c r="B15" s="48">
        <v>370000</v>
      </c>
      <c r="C15" s="48">
        <f t="shared" si="0"/>
        <v>33300</v>
      </c>
      <c r="D15" s="49">
        <f t="shared" si="1"/>
        <v>266030</v>
      </c>
      <c r="E15" s="48">
        <f t="shared" si="2"/>
        <v>212820</v>
      </c>
      <c r="F15" s="48">
        <f t="shared" si="3"/>
        <v>159620</v>
      </c>
      <c r="G15" s="58">
        <f t="shared" si="4"/>
        <v>7182960</v>
      </c>
    </row>
    <row r="16" spans="1:7" s="50" customFormat="1" ht="14.25">
      <c r="A16" s="13">
        <v>10</v>
      </c>
      <c r="B16" s="14">
        <v>400000</v>
      </c>
      <c r="C16" s="14">
        <f t="shared" si="0"/>
        <v>36000</v>
      </c>
      <c r="D16" s="45">
        <f t="shared" si="1"/>
        <v>269670</v>
      </c>
      <c r="E16" s="14">
        <f t="shared" si="2"/>
        <v>215730</v>
      </c>
      <c r="F16" s="14">
        <f t="shared" si="3"/>
        <v>161800</v>
      </c>
      <c r="G16" s="37">
        <f t="shared" si="4"/>
        <v>7281170</v>
      </c>
    </row>
    <row r="17" spans="1:7" s="50" customFormat="1" ht="14.25">
      <c r="A17" s="47">
        <v>11</v>
      </c>
      <c r="B17" s="48">
        <v>440000</v>
      </c>
      <c r="C17" s="48">
        <f t="shared" si="0"/>
        <v>39600</v>
      </c>
      <c r="D17" s="49">
        <f t="shared" si="1"/>
        <v>274520</v>
      </c>
      <c r="E17" s="48">
        <f t="shared" si="2"/>
        <v>219610</v>
      </c>
      <c r="F17" s="48">
        <f t="shared" si="3"/>
        <v>164710</v>
      </c>
      <c r="G17" s="58">
        <f t="shared" si="4"/>
        <v>7412120</v>
      </c>
    </row>
    <row r="18" spans="1:7" s="50" customFormat="1" ht="14.25">
      <c r="A18" s="47">
        <v>12</v>
      </c>
      <c r="B18" s="48">
        <v>480000</v>
      </c>
      <c r="C18" s="48">
        <f t="shared" si="0"/>
        <v>43200</v>
      </c>
      <c r="D18" s="49">
        <f t="shared" si="1"/>
        <v>279370</v>
      </c>
      <c r="E18" s="48">
        <f t="shared" si="2"/>
        <v>223490</v>
      </c>
      <c r="F18" s="48">
        <f t="shared" si="3"/>
        <v>167620</v>
      </c>
      <c r="G18" s="58">
        <f t="shared" si="4"/>
        <v>7543070</v>
      </c>
    </row>
    <row r="19" spans="1:7" s="50" customFormat="1" ht="14.25">
      <c r="A19" s="47">
        <v>13</v>
      </c>
      <c r="B19" s="48">
        <v>520000</v>
      </c>
      <c r="C19" s="48">
        <f t="shared" si="0"/>
        <v>46800</v>
      </c>
      <c r="D19" s="49">
        <f t="shared" si="1"/>
        <v>284220</v>
      </c>
      <c r="E19" s="48">
        <f t="shared" si="2"/>
        <v>227370</v>
      </c>
      <c r="F19" s="48">
        <f t="shared" si="3"/>
        <v>170530</v>
      </c>
      <c r="G19" s="58">
        <f t="shared" si="4"/>
        <v>7674020</v>
      </c>
    </row>
    <row r="20" spans="1:7" s="50" customFormat="1" ht="14.25">
      <c r="A20" s="47">
        <v>14</v>
      </c>
      <c r="B20" s="48">
        <v>570000</v>
      </c>
      <c r="C20" s="48">
        <f t="shared" si="0"/>
        <v>51300</v>
      </c>
      <c r="D20" s="49">
        <f t="shared" si="1"/>
        <v>290280</v>
      </c>
      <c r="E20" s="48">
        <f t="shared" si="2"/>
        <v>232220</v>
      </c>
      <c r="F20" s="48">
        <f t="shared" si="3"/>
        <v>174170</v>
      </c>
      <c r="G20" s="58">
        <f t="shared" si="4"/>
        <v>7837710</v>
      </c>
    </row>
    <row r="21" spans="1:7" s="50" customFormat="1" ht="14.25">
      <c r="A21" s="13">
        <v>15</v>
      </c>
      <c r="B21" s="14">
        <v>620000</v>
      </c>
      <c r="C21" s="14">
        <f t="shared" si="0"/>
        <v>55800</v>
      </c>
      <c r="D21" s="45">
        <f t="shared" si="1"/>
        <v>296340</v>
      </c>
      <c r="E21" s="14">
        <f t="shared" si="2"/>
        <v>237070</v>
      </c>
      <c r="F21" s="14">
        <f t="shared" si="3"/>
        <v>177800</v>
      </c>
      <c r="G21" s="37">
        <f t="shared" si="4"/>
        <v>8001400</v>
      </c>
    </row>
    <row r="22" spans="1:7" s="50" customFormat="1" ht="14.25">
      <c r="A22" s="47">
        <v>16</v>
      </c>
      <c r="B22" s="48">
        <v>670000</v>
      </c>
      <c r="C22" s="48">
        <f t="shared" si="0"/>
        <v>60300</v>
      </c>
      <c r="D22" s="49">
        <f t="shared" si="1"/>
        <v>302410</v>
      </c>
      <c r="E22" s="48">
        <f t="shared" si="2"/>
        <v>241920</v>
      </c>
      <c r="F22" s="48">
        <f t="shared" si="3"/>
        <v>181440</v>
      </c>
      <c r="G22" s="58">
        <f t="shared" si="4"/>
        <v>8165080</v>
      </c>
    </row>
    <row r="23" spans="1:7" s="50" customFormat="1" ht="14.25">
      <c r="A23" s="47">
        <v>17</v>
      </c>
      <c r="B23" s="48">
        <v>730000</v>
      </c>
      <c r="C23" s="48">
        <f t="shared" si="0"/>
        <v>65700</v>
      </c>
      <c r="D23" s="49">
        <f t="shared" si="1"/>
        <v>309680</v>
      </c>
      <c r="E23" s="48">
        <f t="shared" si="2"/>
        <v>247740</v>
      </c>
      <c r="F23" s="48">
        <f t="shared" si="3"/>
        <v>185810</v>
      </c>
      <c r="G23" s="58">
        <f t="shared" si="4"/>
        <v>8361510</v>
      </c>
    </row>
    <row r="24" spans="1:7" s="50" customFormat="1" ht="14.25">
      <c r="A24" s="47">
        <v>18</v>
      </c>
      <c r="B24" s="48">
        <v>790000</v>
      </c>
      <c r="C24" s="48">
        <f t="shared" si="0"/>
        <v>71100</v>
      </c>
      <c r="D24" s="49">
        <f t="shared" si="1"/>
        <v>316960</v>
      </c>
      <c r="E24" s="48">
        <f t="shared" si="2"/>
        <v>253560</v>
      </c>
      <c r="F24" s="48">
        <f t="shared" si="3"/>
        <v>190170</v>
      </c>
      <c r="G24" s="58">
        <f t="shared" si="4"/>
        <v>8557930</v>
      </c>
    </row>
    <row r="25" spans="1:7" s="50" customFormat="1" ht="14.25">
      <c r="A25" s="47">
        <v>19</v>
      </c>
      <c r="B25" s="48">
        <v>850000</v>
      </c>
      <c r="C25" s="48">
        <f t="shared" si="0"/>
        <v>76500</v>
      </c>
      <c r="D25" s="49">
        <f t="shared" si="1"/>
        <v>324230</v>
      </c>
      <c r="E25" s="48">
        <f t="shared" si="2"/>
        <v>259380</v>
      </c>
      <c r="F25" s="48">
        <f t="shared" si="3"/>
        <v>194540</v>
      </c>
      <c r="G25" s="58">
        <f t="shared" si="4"/>
        <v>8754360</v>
      </c>
    </row>
    <row r="26" spans="1:7" s="50" customFormat="1" ht="14.25">
      <c r="A26" s="13">
        <v>20</v>
      </c>
      <c r="B26" s="14">
        <v>920000</v>
      </c>
      <c r="C26" s="14">
        <f t="shared" si="0"/>
        <v>82800</v>
      </c>
      <c r="D26" s="45">
        <f t="shared" si="1"/>
        <v>332720</v>
      </c>
      <c r="E26" s="14">
        <f t="shared" si="2"/>
        <v>266170</v>
      </c>
      <c r="F26" s="14">
        <f t="shared" si="3"/>
        <v>199630</v>
      </c>
      <c r="G26" s="37">
        <f t="shared" si="4"/>
        <v>8983520</v>
      </c>
    </row>
    <row r="27" spans="1:7" s="50" customFormat="1" ht="14.25">
      <c r="A27" s="47">
        <v>21</v>
      </c>
      <c r="B27" s="48">
        <v>990000</v>
      </c>
      <c r="C27" s="48">
        <f t="shared" si="0"/>
        <v>89100</v>
      </c>
      <c r="D27" s="49">
        <f t="shared" si="1"/>
        <v>341210</v>
      </c>
      <c r="E27" s="48">
        <f t="shared" si="2"/>
        <v>272960</v>
      </c>
      <c r="F27" s="48">
        <f t="shared" si="3"/>
        <v>204720</v>
      </c>
      <c r="G27" s="58">
        <f t="shared" si="4"/>
        <v>9212680</v>
      </c>
    </row>
    <row r="28" spans="1:7" s="50" customFormat="1" ht="14.25">
      <c r="A28" s="47">
        <v>22</v>
      </c>
      <c r="B28" s="48">
        <v>1060000</v>
      </c>
      <c r="C28" s="48">
        <f t="shared" si="0"/>
        <v>95400</v>
      </c>
      <c r="D28" s="49">
        <f t="shared" si="1"/>
        <v>349690</v>
      </c>
      <c r="E28" s="48">
        <f t="shared" si="2"/>
        <v>279750</v>
      </c>
      <c r="F28" s="48">
        <f t="shared" si="3"/>
        <v>209810</v>
      </c>
      <c r="G28" s="58">
        <f t="shared" si="4"/>
        <v>9441850</v>
      </c>
    </row>
    <row r="29" spans="1:7" s="50" customFormat="1" ht="14.25">
      <c r="A29" s="47">
        <v>23</v>
      </c>
      <c r="B29" s="48">
        <v>1130000</v>
      </c>
      <c r="C29" s="48">
        <f t="shared" si="0"/>
        <v>101700</v>
      </c>
      <c r="D29" s="49">
        <f t="shared" si="1"/>
        <v>358180</v>
      </c>
      <c r="E29" s="48">
        <f t="shared" si="2"/>
        <v>286540</v>
      </c>
      <c r="F29" s="48">
        <f t="shared" si="3"/>
        <v>214910</v>
      </c>
      <c r="G29" s="58">
        <f t="shared" si="4"/>
        <v>9671010</v>
      </c>
    </row>
    <row r="30" spans="1:7" s="50" customFormat="1" ht="14.25">
      <c r="A30" s="47">
        <v>24</v>
      </c>
      <c r="B30" s="48">
        <v>1210000</v>
      </c>
      <c r="C30" s="48">
        <f t="shared" si="0"/>
        <v>108900</v>
      </c>
      <c r="D30" s="49">
        <f t="shared" si="1"/>
        <v>367880</v>
      </c>
      <c r="E30" s="48">
        <f t="shared" si="2"/>
        <v>294300</v>
      </c>
      <c r="F30" s="48">
        <f t="shared" si="3"/>
        <v>220730</v>
      </c>
      <c r="G30" s="58">
        <f t="shared" si="4"/>
        <v>9932910</v>
      </c>
    </row>
    <row r="31" spans="1:7" s="50" customFormat="1" ht="14.25">
      <c r="A31" s="13">
        <v>25</v>
      </c>
      <c r="B31" s="14">
        <v>1290000</v>
      </c>
      <c r="C31" s="14">
        <f t="shared" si="0"/>
        <v>116100</v>
      </c>
      <c r="D31" s="45">
        <f t="shared" si="1"/>
        <v>377580</v>
      </c>
      <c r="E31" s="14">
        <f t="shared" si="2"/>
        <v>302060</v>
      </c>
      <c r="F31" s="14">
        <f t="shared" si="3"/>
        <v>226550</v>
      </c>
      <c r="G31" s="37">
        <f t="shared" si="4"/>
        <v>10194810</v>
      </c>
    </row>
    <row r="32" spans="1:7" s="50" customFormat="1" ht="14.25">
      <c r="A32" s="47">
        <v>26</v>
      </c>
      <c r="B32" s="48">
        <v>1380000</v>
      </c>
      <c r="C32" s="48">
        <f t="shared" si="0"/>
        <v>124200</v>
      </c>
      <c r="D32" s="49">
        <f t="shared" si="1"/>
        <v>388490</v>
      </c>
      <c r="E32" s="48">
        <f t="shared" si="2"/>
        <v>310790</v>
      </c>
      <c r="F32" s="48">
        <f t="shared" si="3"/>
        <v>233090</v>
      </c>
      <c r="G32" s="58">
        <f t="shared" si="4"/>
        <v>10489450</v>
      </c>
    </row>
    <row r="33" spans="1:7" s="50" customFormat="1" ht="14.25">
      <c r="A33" s="59" t="s">
        <v>96</v>
      </c>
      <c r="B33" s="60">
        <v>1457000</v>
      </c>
      <c r="C33" s="60">
        <v>131130</v>
      </c>
      <c r="D33" s="62">
        <f t="shared" si="1"/>
        <v>397830</v>
      </c>
      <c r="E33" s="60">
        <f t="shared" si="2"/>
        <v>318260</v>
      </c>
      <c r="F33" s="60">
        <f t="shared" si="3"/>
        <v>238700</v>
      </c>
      <c r="G33" s="61">
        <f t="shared" si="4"/>
        <v>10741530</v>
      </c>
    </row>
    <row r="34" spans="1:7" s="50" customFormat="1" ht="14.25">
      <c r="A34" s="47">
        <v>27</v>
      </c>
      <c r="B34" s="48">
        <v>1470000</v>
      </c>
      <c r="C34" s="48">
        <f t="shared" si="0"/>
        <v>132300</v>
      </c>
      <c r="D34" s="49">
        <f t="shared" si="1"/>
        <v>399410</v>
      </c>
      <c r="E34" s="48">
        <f t="shared" si="2"/>
        <v>319520</v>
      </c>
      <c r="F34" s="48">
        <f t="shared" si="3"/>
        <v>239640</v>
      </c>
      <c r="G34" s="58">
        <f t="shared" si="4"/>
        <v>10784080</v>
      </c>
    </row>
    <row r="35" spans="1:7" s="50" customFormat="1" ht="14.25">
      <c r="A35" s="47">
        <v>28</v>
      </c>
      <c r="B35" s="48">
        <v>1560000</v>
      </c>
      <c r="C35" s="48">
        <f t="shared" si="0"/>
        <v>140400</v>
      </c>
      <c r="D35" s="49">
        <f t="shared" si="1"/>
        <v>410320</v>
      </c>
      <c r="E35" s="48">
        <f t="shared" si="2"/>
        <v>328250</v>
      </c>
      <c r="F35" s="48">
        <f t="shared" si="3"/>
        <v>246190</v>
      </c>
      <c r="G35" s="58">
        <f t="shared" si="4"/>
        <v>11078720</v>
      </c>
    </row>
    <row r="36" spans="1:7" s="50" customFormat="1" ht="14.25">
      <c r="A36" s="47">
        <v>29</v>
      </c>
      <c r="B36" s="48">
        <v>1660000</v>
      </c>
      <c r="C36" s="48">
        <f t="shared" si="0"/>
        <v>149400</v>
      </c>
      <c r="D36" s="49">
        <f t="shared" si="1"/>
        <v>422440</v>
      </c>
      <c r="E36" s="48">
        <f t="shared" si="2"/>
        <v>337950</v>
      </c>
      <c r="F36" s="48">
        <f t="shared" si="3"/>
        <v>253460</v>
      </c>
      <c r="G36" s="58">
        <f t="shared" si="4"/>
        <v>11406100</v>
      </c>
    </row>
    <row r="37" spans="1:7" s="50" customFormat="1" ht="14.25">
      <c r="A37" s="13">
        <v>30</v>
      </c>
      <c r="B37" s="14">
        <v>1760000</v>
      </c>
      <c r="C37" s="14">
        <f t="shared" si="0"/>
        <v>158400</v>
      </c>
      <c r="D37" s="45">
        <f t="shared" si="1"/>
        <v>434570</v>
      </c>
      <c r="E37" s="14">
        <f t="shared" si="2"/>
        <v>347650</v>
      </c>
      <c r="F37" s="14">
        <f t="shared" si="3"/>
        <v>260740</v>
      </c>
      <c r="G37" s="37">
        <f t="shared" si="4"/>
        <v>11733470</v>
      </c>
    </row>
    <row r="38" spans="1:7" s="50" customFormat="1" ht="14.25">
      <c r="A38" s="47">
        <v>31</v>
      </c>
      <c r="B38" s="48">
        <v>1860000</v>
      </c>
      <c r="C38" s="48">
        <f t="shared" si="0"/>
        <v>167400</v>
      </c>
      <c r="D38" s="49">
        <f t="shared" si="1"/>
        <v>446690</v>
      </c>
      <c r="E38" s="48">
        <f t="shared" si="2"/>
        <v>357350</v>
      </c>
      <c r="F38" s="48">
        <f t="shared" si="3"/>
        <v>268010</v>
      </c>
      <c r="G38" s="58">
        <f t="shared" si="4"/>
        <v>12060850</v>
      </c>
    </row>
    <row r="39" spans="1:7" s="50" customFormat="1" ht="14.25">
      <c r="A39" s="47">
        <v>32</v>
      </c>
      <c r="B39" s="48">
        <v>1970000</v>
      </c>
      <c r="C39" s="48">
        <f t="shared" si="0"/>
        <v>177300</v>
      </c>
      <c r="D39" s="49">
        <f t="shared" si="1"/>
        <v>460030</v>
      </c>
      <c r="E39" s="48">
        <f t="shared" si="2"/>
        <v>368020</v>
      </c>
      <c r="F39" s="48">
        <f t="shared" si="3"/>
        <v>276020</v>
      </c>
      <c r="G39" s="58">
        <f t="shared" si="4"/>
        <v>12420960</v>
      </c>
    </row>
    <row r="40" spans="1:7" s="50" customFormat="1" ht="14.25">
      <c r="A40" s="47">
        <v>33</v>
      </c>
      <c r="B40" s="48">
        <v>2080000</v>
      </c>
      <c r="C40" s="48">
        <f t="shared" si="0"/>
        <v>187200</v>
      </c>
      <c r="D40" s="49">
        <f t="shared" si="1"/>
        <v>473370</v>
      </c>
      <c r="E40" s="48">
        <f t="shared" si="2"/>
        <v>378690</v>
      </c>
      <c r="F40" s="48">
        <f t="shared" si="3"/>
        <v>284020</v>
      </c>
      <c r="G40" s="58">
        <f t="shared" si="4"/>
        <v>12781070</v>
      </c>
    </row>
    <row r="41" spans="1:7" s="50" customFormat="1" ht="14.25">
      <c r="A41" s="47">
        <v>34</v>
      </c>
      <c r="B41" s="48">
        <v>2190000</v>
      </c>
      <c r="C41" s="48">
        <f t="shared" si="0"/>
        <v>197100</v>
      </c>
      <c r="D41" s="49">
        <f t="shared" si="1"/>
        <v>486710</v>
      </c>
      <c r="E41" s="48">
        <f t="shared" si="2"/>
        <v>389360</v>
      </c>
      <c r="F41" s="48">
        <f t="shared" si="3"/>
        <v>292020</v>
      </c>
      <c r="G41" s="58">
        <f t="shared" si="4"/>
        <v>13141180</v>
      </c>
    </row>
    <row r="42" spans="1:7" s="50" customFormat="1" ht="14.25">
      <c r="A42" s="13">
        <v>35</v>
      </c>
      <c r="B42" s="14">
        <v>2300000</v>
      </c>
      <c r="C42" s="14">
        <f t="shared" si="0"/>
        <v>207000</v>
      </c>
      <c r="D42" s="45">
        <f t="shared" si="1"/>
        <v>500040</v>
      </c>
      <c r="E42" s="14">
        <f t="shared" si="2"/>
        <v>400030</v>
      </c>
      <c r="F42" s="14">
        <f t="shared" si="3"/>
        <v>300020</v>
      </c>
      <c r="G42" s="37">
        <f t="shared" si="4"/>
        <v>13501300</v>
      </c>
    </row>
    <row r="43" spans="1:7" s="50" customFormat="1" ht="14.25">
      <c r="A43" s="47">
        <v>36</v>
      </c>
      <c r="B43" s="48">
        <v>2420000</v>
      </c>
      <c r="C43" s="48">
        <f t="shared" si="0"/>
        <v>217800</v>
      </c>
      <c r="D43" s="49">
        <f t="shared" si="1"/>
        <v>514590</v>
      </c>
      <c r="E43" s="48">
        <f t="shared" si="2"/>
        <v>411670</v>
      </c>
      <c r="F43" s="48">
        <f t="shared" si="3"/>
        <v>308750</v>
      </c>
      <c r="G43" s="58">
        <f t="shared" si="4"/>
        <v>13894150</v>
      </c>
    </row>
    <row r="44" spans="1:7" s="50" customFormat="1" ht="14.25">
      <c r="A44" s="47">
        <v>37</v>
      </c>
      <c r="B44" s="48">
        <v>2540000</v>
      </c>
      <c r="C44" s="48">
        <f t="shared" si="0"/>
        <v>228600</v>
      </c>
      <c r="D44" s="49">
        <f t="shared" si="1"/>
        <v>529140</v>
      </c>
      <c r="E44" s="48">
        <f t="shared" si="2"/>
        <v>423310</v>
      </c>
      <c r="F44" s="48">
        <f t="shared" si="3"/>
        <v>317480</v>
      </c>
      <c r="G44" s="58">
        <f t="shared" si="4"/>
        <v>14287000</v>
      </c>
    </row>
    <row r="45" spans="1:7" s="50" customFormat="1" ht="14.25">
      <c r="A45" s="47">
        <v>38</v>
      </c>
      <c r="B45" s="48">
        <v>2670000</v>
      </c>
      <c r="C45" s="48">
        <f t="shared" si="0"/>
        <v>240300</v>
      </c>
      <c r="D45" s="49">
        <f t="shared" si="1"/>
        <v>544910</v>
      </c>
      <c r="E45" s="48">
        <f t="shared" si="2"/>
        <v>435920</v>
      </c>
      <c r="F45" s="48">
        <f t="shared" si="3"/>
        <v>326940</v>
      </c>
      <c r="G45" s="58">
        <f t="shared" si="4"/>
        <v>14712580</v>
      </c>
    </row>
    <row r="46" spans="1:7" s="50" customFormat="1" ht="14.25">
      <c r="A46" s="47">
        <v>39</v>
      </c>
      <c r="B46" s="48">
        <v>2800000</v>
      </c>
      <c r="C46" s="48">
        <f t="shared" si="0"/>
        <v>252000</v>
      </c>
      <c r="D46" s="49">
        <f t="shared" si="1"/>
        <v>560670</v>
      </c>
      <c r="E46" s="48">
        <f t="shared" si="2"/>
        <v>448530</v>
      </c>
      <c r="F46" s="48">
        <f t="shared" si="3"/>
        <v>336400</v>
      </c>
      <c r="G46" s="58">
        <f t="shared" si="4"/>
        <v>15138170</v>
      </c>
    </row>
    <row r="47" spans="1:7" s="50" customFormat="1" ht="14.25">
      <c r="A47" s="13">
        <v>40</v>
      </c>
      <c r="B47" s="14">
        <v>2940000</v>
      </c>
      <c r="C47" s="14">
        <f t="shared" si="0"/>
        <v>264600</v>
      </c>
      <c r="D47" s="45">
        <f t="shared" si="1"/>
        <v>577640</v>
      </c>
      <c r="E47" s="14">
        <f t="shared" si="2"/>
        <v>462110</v>
      </c>
      <c r="F47" s="14">
        <f t="shared" si="3"/>
        <v>346580</v>
      </c>
      <c r="G47" s="37">
        <f t="shared" si="4"/>
        <v>15596500</v>
      </c>
    </row>
    <row r="48" spans="1:7" s="50" customFormat="1" ht="14.25">
      <c r="A48" s="47">
        <v>41</v>
      </c>
      <c r="B48" s="48">
        <v>3080000</v>
      </c>
      <c r="C48" s="48">
        <f t="shared" si="0"/>
        <v>277200</v>
      </c>
      <c r="D48" s="49">
        <f t="shared" si="1"/>
        <v>594620</v>
      </c>
      <c r="E48" s="48">
        <f t="shared" si="2"/>
        <v>475690</v>
      </c>
      <c r="F48" s="48">
        <f t="shared" si="3"/>
        <v>356770</v>
      </c>
      <c r="G48" s="58">
        <f t="shared" si="4"/>
        <v>16054820</v>
      </c>
    </row>
    <row r="49" spans="1:7" s="50" customFormat="1" ht="14.25">
      <c r="A49" s="47">
        <v>42</v>
      </c>
      <c r="B49" s="48">
        <v>3230000</v>
      </c>
      <c r="C49" s="48">
        <f t="shared" si="0"/>
        <v>290700</v>
      </c>
      <c r="D49" s="49">
        <f t="shared" si="1"/>
        <v>612810</v>
      </c>
      <c r="E49" s="48">
        <f t="shared" si="2"/>
        <v>490240</v>
      </c>
      <c r="F49" s="48">
        <f t="shared" si="3"/>
        <v>367680</v>
      </c>
      <c r="G49" s="58">
        <f t="shared" si="4"/>
        <v>16545880</v>
      </c>
    </row>
    <row r="50" spans="1:7" s="50" customFormat="1" ht="14.25">
      <c r="A50" s="47">
        <v>43</v>
      </c>
      <c r="B50" s="48">
        <v>3380000</v>
      </c>
      <c r="C50" s="48">
        <f t="shared" si="0"/>
        <v>304200</v>
      </c>
      <c r="D50" s="49">
        <f t="shared" si="1"/>
        <v>630990</v>
      </c>
      <c r="E50" s="48">
        <f t="shared" si="2"/>
        <v>504790</v>
      </c>
      <c r="F50" s="48">
        <f t="shared" si="3"/>
        <v>378590</v>
      </c>
      <c r="G50" s="58">
        <f t="shared" si="4"/>
        <v>17036950</v>
      </c>
    </row>
    <row r="51" spans="1:7" s="50" customFormat="1" ht="14.25">
      <c r="A51" s="47">
        <v>44</v>
      </c>
      <c r="B51" s="48">
        <v>3600000</v>
      </c>
      <c r="C51" s="48">
        <f t="shared" si="0"/>
        <v>324000</v>
      </c>
      <c r="D51" s="49">
        <f t="shared" si="1"/>
        <v>657670</v>
      </c>
      <c r="E51" s="49">
        <f t="shared" si="2"/>
        <v>526130</v>
      </c>
      <c r="F51" s="48">
        <f t="shared" si="3"/>
        <v>394600</v>
      </c>
      <c r="G51" s="58">
        <f t="shared" si="4"/>
        <v>17757170</v>
      </c>
    </row>
    <row r="52" spans="1:7" s="50" customFormat="1" ht="14.25">
      <c r="A52" s="13">
        <v>45</v>
      </c>
      <c r="B52" s="14">
        <v>3680000</v>
      </c>
      <c r="C52" s="14">
        <f t="shared" si="0"/>
        <v>331200</v>
      </c>
      <c r="D52" s="45">
        <f t="shared" si="1"/>
        <v>667370</v>
      </c>
      <c r="E52" s="45">
        <f t="shared" si="2"/>
        <v>533890</v>
      </c>
      <c r="F52" s="14">
        <f t="shared" si="3"/>
        <v>400420</v>
      </c>
      <c r="G52" s="37">
        <f t="shared" si="4"/>
        <v>18019070</v>
      </c>
    </row>
    <row r="53" spans="1:7" s="50" customFormat="1" ht="15" thickBot="1">
      <c r="A53" s="15">
        <v>46</v>
      </c>
      <c r="B53" s="16">
        <v>3750000</v>
      </c>
      <c r="C53" s="46">
        <f t="shared" si="0"/>
        <v>337500</v>
      </c>
      <c r="D53" s="46">
        <f t="shared" si="1"/>
        <v>675860</v>
      </c>
      <c r="E53" s="46">
        <f t="shared" si="2"/>
        <v>540680</v>
      </c>
      <c r="F53" s="46">
        <f t="shared" si="3"/>
        <v>405510</v>
      </c>
      <c r="G53" s="71">
        <f t="shared" si="4"/>
        <v>18248230</v>
      </c>
    </row>
    <row r="54" ht="14.25" thickTop="1"/>
    <row r="55" spans="1:7" ht="90.75" customHeight="1">
      <c r="A55" s="17" t="s">
        <v>0</v>
      </c>
      <c r="B55" s="84" t="s">
        <v>99</v>
      </c>
      <c r="C55" s="84"/>
      <c r="D55" s="84"/>
      <c r="E55" s="84"/>
      <c r="F55" s="84"/>
      <c r="G55" s="84"/>
    </row>
    <row r="56" spans="2:4" ht="13.5">
      <c r="B56" s="11" t="s">
        <v>93</v>
      </c>
      <c r="C56" s="10" t="s">
        <v>85</v>
      </c>
      <c r="D56" s="10" t="s">
        <v>86</v>
      </c>
    </row>
    <row r="57" spans="2:4" ht="13.5">
      <c r="B57" s="10" t="s">
        <v>87</v>
      </c>
      <c r="C57" s="10">
        <v>227270</v>
      </c>
      <c r="D57" s="10">
        <v>0</v>
      </c>
    </row>
    <row r="58" spans="2:4" ht="13.5">
      <c r="B58" s="10" t="s">
        <v>88</v>
      </c>
      <c r="C58" s="10">
        <v>151490</v>
      </c>
      <c r="D58" s="10">
        <v>0</v>
      </c>
    </row>
    <row r="59" spans="2:4" ht="13.5">
      <c r="B59" s="10" t="s">
        <v>89</v>
      </c>
      <c r="C59" s="10">
        <v>151490</v>
      </c>
      <c r="D59" s="10">
        <v>0</v>
      </c>
    </row>
    <row r="60" ht="13.5">
      <c r="C60" s="1">
        <f>(C57*D57+C58*D58+C59*D59)/12</f>
        <v>0</v>
      </c>
    </row>
    <row r="61" ht="13.5"/>
    <row r="62" ht="13.5"/>
    <row r="63" ht="13.5"/>
    <row r="64" ht="13.5"/>
    <row r="65" ht="13.5"/>
    <row r="66" ht="13.5"/>
    <row r="67" ht="13.5"/>
    <row r="68" ht="13.5"/>
    <row r="69" ht="13.5"/>
    <row r="70" ht="13.5"/>
    <row r="71" ht="13.5"/>
    <row r="72" ht="13.5"/>
    <row r="73" ht="13.5"/>
    <row r="74" ht="13.5"/>
  </sheetData>
  <sheetProtection/>
  <mergeCells count="7">
    <mergeCell ref="F5:F6"/>
    <mergeCell ref="G5:G6"/>
    <mergeCell ref="B55:G55"/>
    <mergeCell ref="A5:A6"/>
    <mergeCell ref="B5:B6"/>
    <mergeCell ref="D5:D6"/>
    <mergeCell ref="E5:E6"/>
  </mergeCells>
  <printOptions/>
  <pageMargins left="0.7480314960629921" right="0.7480314960629921" top="0.984251968503937" bottom="0.984251968503937" header="0.5118110236220472" footer="0.5118110236220472"/>
  <pageSetup fitToHeight="1" fitToWidth="1" horizontalDpi="600" verticalDpi="600" orientation="portrait" paperSize="9" scale="7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G60"/>
  <sheetViews>
    <sheetView zoomScalePageLayoutView="0" workbookViewId="0" topLeftCell="A1">
      <selection activeCell="C34" sqref="C34"/>
    </sheetView>
  </sheetViews>
  <sheetFormatPr defaultColWidth="9.00390625" defaultRowHeight="14.25"/>
  <cols>
    <col min="1" max="1" width="4.75390625" style="1" customWidth="1"/>
    <col min="2" max="6" width="18.50390625" style="1" customWidth="1"/>
    <col min="7" max="7" width="14.625" style="1" customWidth="1"/>
  </cols>
  <sheetData>
    <row r="1" ht="13.5"/>
    <row r="2" spans="2:3" ht="13.5">
      <c r="B2" s="2"/>
      <c r="C2" s="2"/>
    </row>
    <row r="3" spans="1:3" ht="13.5">
      <c r="A3" s="3" t="s">
        <v>2</v>
      </c>
      <c r="B3" s="2"/>
      <c r="C3" s="2"/>
    </row>
    <row r="4" spans="2:6" ht="14.25" thickBot="1">
      <c r="B4" s="1">
        <v>1824109</v>
      </c>
      <c r="F4" s="30" t="s">
        <v>57</v>
      </c>
    </row>
    <row r="5" spans="1:7" ht="15" customHeight="1" thickTop="1">
      <c r="A5" s="82" t="s">
        <v>97</v>
      </c>
      <c r="B5" s="80" t="s">
        <v>92</v>
      </c>
      <c r="C5" s="20" t="s">
        <v>79</v>
      </c>
      <c r="D5" s="87" t="s">
        <v>63</v>
      </c>
      <c r="E5" s="88"/>
      <c r="F5" s="89"/>
      <c r="G5"/>
    </row>
    <row r="6" spans="1:7" ht="15" thickBot="1">
      <c r="A6" s="83"/>
      <c r="B6" s="81"/>
      <c r="C6" s="12" t="s">
        <v>84</v>
      </c>
      <c r="D6" s="39" t="s">
        <v>65</v>
      </c>
      <c r="E6" s="40" t="s">
        <v>66</v>
      </c>
      <c r="F6" s="44" t="s">
        <v>67</v>
      </c>
      <c r="G6"/>
    </row>
    <row r="7" spans="1:6" s="50" customFormat="1" ht="14.25">
      <c r="A7" s="47">
        <v>1</v>
      </c>
      <c r="B7" s="48">
        <v>230000</v>
      </c>
      <c r="C7" s="48">
        <f aca="true" t="shared" si="0" ref="C7:C53">B7*0.09</f>
        <v>20700</v>
      </c>
      <c r="D7" s="51">
        <f>ROUNDDOWN(IF((1.455*($B$4+$B7)*0.4/12)+$C$60&gt;$B7,$B7,(1.455*($B$4+$B7)*0.4/12)+$C$60),-1)</f>
        <v>99620</v>
      </c>
      <c r="E7" s="51">
        <f>ROUNDDOWN(IF(((2.4*($B$4+0.75*$B7)*2/15)+(1.8*($B$4+$B7)*9/15)+(1.5*($B$4+$B7)*1/15)+(1.485*($B$4+$B7)*1/15)+(1.47*($B$4+$B7)*1/15))*0.5/12+$C$60&gt;B7,B7,((2.4*($B$4+0.75*$B7)*3/15)+(1.8*($B$4+$B7)*9/15)+(1.5*($B$4+$B7)*1/15)+(1.485*($B$4+$B7)*1/15)+(1.47*($B$4+$B7)*1/15)+(1.455*($B$4+$B7)*1/15))*0.5/12+$C$60),-1)</f>
        <v>166080</v>
      </c>
      <c r="F7" s="54">
        <f>ROUNDDOWN(IF(((2.4*($B$4+0.75*$B7)*7/20)+(1.8*($B$4+$B7)*9/20)+(1.5*($B$4+$B7)*1/20)+(1.485*($B$4+$B7)*1/20)+(1.47*($B$4+$B7)*1/20))*0.6/12+$C$60&gt;B7,B7,((2.4*($B$4+0.75*$B7)*8/20)+(1.8*($B$4+$B7)*9/20)+(1.5*($B$4+$B7)*1/20)+(1.485*($B$4+$B7)*1/20)+(1.47*($B$4+$B7)*1/20)+(1.455*($B$4+$B7)*1/20))*0.6/12+$C$60),-1)</f>
        <v>209370</v>
      </c>
    </row>
    <row r="8" spans="1:6" s="50" customFormat="1" ht="14.25">
      <c r="A8" s="47">
        <v>2</v>
      </c>
      <c r="B8" s="48">
        <v>240000</v>
      </c>
      <c r="C8" s="48">
        <f t="shared" si="0"/>
        <v>21600</v>
      </c>
      <c r="D8" s="52">
        <f aca="true" t="shared" si="1" ref="D8:D53">ROUNDDOWN(IF((1.455*($B$4+$B8)*0.4/12)+$C$60&gt;$B8,$B8,(1.455*($B$4+$B8)*0.4/12)+$C$60),-1)</f>
        <v>100100</v>
      </c>
      <c r="E8" s="52">
        <f aca="true" t="shared" si="2" ref="E8:E53">ROUNDDOWN(IF(((2.4*($B$4+0.75*$B8)*2/15)+(1.8*($B$4+$B8)*9/15)+(1.5*($B$4+$B8)*1/15)+(1.485*($B$4+$B8)*1/15)+(1.47*($B$4+$B8)*1/15))*0.5/12+$C$60&gt;B8,B8,((2.4*($B$4+0.75*$B8)*3/15)+(1.8*($B$4+$B8)*9/15)+(1.5*($B$4+$B8)*1/15)+(1.485*($B$4+$B8)*1/15)+(1.47*($B$4+$B8)*1/15)+(1.455*($B$4+$B8)*1/15))*0.5/12+$C$60),-1)</f>
        <v>166850</v>
      </c>
      <c r="F8" s="55">
        <f aca="true" t="shared" si="3" ref="F8:F53">ROUNDDOWN(IF(((2.4*($B$4+0.75*$B8)*7/20)+(1.8*($B$4+$B8)*9/20)+(1.5*($B$4+$B8)*1/20)+(1.485*($B$4+$B8)*1/20)+(1.47*($B$4+$B8)*1/20))*0.6/12+$C$60&gt;B8,B8,((2.4*($B$4+0.75*$B8)*8/20)+(1.8*($B$4+$B8)*9/20)+(1.5*($B$4+$B8)*1/20)+(1.485*($B$4+$B8)*1/20)+(1.47*($B$4+$B8)*1/20)+(1.455*($B$4+$B8)*1/20))*0.6/12+$C$60),-1)</f>
        <v>210290</v>
      </c>
    </row>
    <row r="9" spans="1:6" s="50" customFormat="1" ht="14.25">
      <c r="A9" s="47">
        <v>3</v>
      </c>
      <c r="B9" s="48">
        <v>250000</v>
      </c>
      <c r="C9" s="48">
        <f t="shared" si="0"/>
        <v>22500</v>
      </c>
      <c r="D9" s="52">
        <f t="shared" si="1"/>
        <v>100590</v>
      </c>
      <c r="E9" s="52">
        <f t="shared" si="2"/>
        <v>167610</v>
      </c>
      <c r="F9" s="55">
        <f t="shared" si="3"/>
        <v>211200</v>
      </c>
    </row>
    <row r="10" spans="1:6" s="50" customFormat="1" ht="14.25">
      <c r="A10" s="47">
        <v>4</v>
      </c>
      <c r="B10" s="48">
        <v>260000</v>
      </c>
      <c r="C10" s="48">
        <f t="shared" si="0"/>
        <v>23400</v>
      </c>
      <c r="D10" s="52">
        <f t="shared" si="1"/>
        <v>101070</v>
      </c>
      <c r="E10" s="52">
        <f t="shared" si="2"/>
        <v>168380</v>
      </c>
      <c r="F10" s="55">
        <f t="shared" si="3"/>
        <v>212110</v>
      </c>
    </row>
    <row r="11" spans="1:6" s="50" customFormat="1" ht="14.25">
      <c r="A11" s="13">
        <v>5</v>
      </c>
      <c r="B11" s="14">
        <v>270000</v>
      </c>
      <c r="C11" s="14">
        <f t="shared" si="0"/>
        <v>24300</v>
      </c>
      <c r="D11" s="53">
        <f t="shared" si="1"/>
        <v>101560</v>
      </c>
      <c r="E11" s="53">
        <f t="shared" si="2"/>
        <v>169140</v>
      </c>
      <c r="F11" s="56">
        <f t="shared" si="3"/>
        <v>213020</v>
      </c>
    </row>
    <row r="12" spans="1:6" s="50" customFormat="1" ht="14.25">
      <c r="A12" s="47">
        <v>6</v>
      </c>
      <c r="B12" s="48">
        <v>290000</v>
      </c>
      <c r="C12" s="48">
        <f t="shared" si="0"/>
        <v>26100</v>
      </c>
      <c r="D12" s="52">
        <f t="shared" si="1"/>
        <v>102530</v>
      </c>
      <c r="E12" s="52">
        <f t="shared" si="2"/>
        <v>170670</v>
      </c>
      <c r="F12" s="55">
        <f t="shared" si="3"/>
        <v>214850</v>
      </c>
    </row>
    <row r="13" spans="1:6" s="50" customFormat="1" ht="14.25">
      <c r="A13" s="47">
        <v>7</v>
      </c>
      <c r="B13" s="48">
        <v>310000</v>
      </c>
      <c r="C13" s="48">
        <f t="shared" si="0"/>
        <v>27900</v>
      </c>
      <c r="D13" s="52">
        <f t="shared" si="1"/>
        <v>103500</v>
      </c>
      <c r="E13" s="52">
        <f t="shared" si="2"/>
        <v>172200</v>
      </c>
      <c r="F13" s="55">
        <f t="shared" si="3"/>
        <v>216680</v>
      </c>
    </row>
    <row r="14" spans="1:6" s="50" customFormat="1" ht="14.25">
      <c r="A14" s="47">
        <v>8</v>
      </c>
      <c r="B14" s="48">
        <v>340000</v>
      </c>
      <c r="C14" s="48">
        <f t="shared" si="0"/>
        <v>30600</v>
      </c>
      <c r="D14" s="52">
        <f t="shared" si="1"/>
        <v>104950</v>
      </c>
      <c r="E14" s="52">
        <f t="shared" si="2"/>
        <v>174490</v>
      </c>
      <c r="F14" s="55">
        <f t="shared" si="3"/>
        <v>219410</v>
      </c>
    </row>
    <row r="15" spans="1:6" s="50" customFormat="1" ht="14.25">
      <c r="A15" s="47">
        <v>9</v>
      </c>
      <c r="B15" s="48">
        <v>370000</v>
      </c>
      <c r="C15" s="48">
        <f t="shared" si="0"/>
        <v>33300</v>
      </c>
      <c r="D15" s="52">
        <f t="shared" si="1"/>
        <v>106410</v>
      </c>
      <c r="E15" s="52">
        <f t="shared" si="2"/>
        <v>176780</v>
      </c>
      <c r="F15" s="55">
        <f t="shared" si="3"/>
        <v>222150</v>
      </c>
    </row>
    <row r="16" spans="1:6" s="50" customFormat="1" ht="14.25">
      <c r="A16" s="13">
        <v>10</v>
      </c>
      <c r="B16" s="14">
        <v>400000</v>
      </c>
      <c r="C16" s="14">
        <f t="shared" si="0"/>
        <v>36000</v>
      </c>
      <c r="D16" s="53">
        <f t="shared" si="1"/>
        <v>107860</v>
      </c>
      <c r="E16" s="53">
        <f t="shared" si="2"/>
        <v>179070</v>
      </c>
      <c r="F16" s="56">
        <f t="shared" si="3"/>
        <v>224890</v>
      </c>
    </row>
    <row r="17" spans="1:6" s="50" customFormat="1" ht="14.25">
      <c r="A17" s="47">
        <v>11</v>
      </c>
      <c r="B17" s="48">
        <v>440000</v>
      </c>
      <c r="C17" s="48">
        <f t="shared" si="0"/>
        <v>39600</v>
      </c>
      <c r="D17" s="52">
        <f t="shared" si="1"/>
        <v>109800</v>
      </c>
      <c r="E17" s="52">
        <f t="shared" si="2"/>
        <v>182130</v>
      </c>
      <c r="F17" s="55">
        <f t="shared" si="3"/>
        <v>228540</v>
      </c>
    </row>
    <row r="18" spans="1:6" s="50" customFormat="1" ht="14.25">
      <c r="A18" s="47">
        <v>12</v>
      </c>
      <c r="B18" s="48">
        <v>480000</v>
      </c>
      <c r="C18" s="48">
        <f t="shared" si="0"/>
        <v>43200</v>
      </c>
      <c r="D18" s="52">
        <f t="shared" si="1"/>
        <v>111740</v>
      </c>
      <c r="E18" s="52">
        <f t="shared" si="2"/>
        <v>185190</v>
      </c>
      <c r="F18" s="55">
        <f t="shared" si="3"/>
        <v>232190</v>
      </c>
    </row>
    <row r="19" spans="1:6" s="50" customFormat="1" ht="14.25">
      <c r="A19" s="47">
        <v>13</v>
      </c>
      <c r="B19" s="48">
        <v>520000</v>
      </c>
      <c r="C19" s="48">
        <f t="shared" si="0"/>
        <v>46800</v>
      </c>
      <c r="D19" s="52">
        <f t="shared" si="1"/>
        <v>113680</v>
      </c>
      <c r="E19" s="52">
        <f t="shared" si="2"/>
        <v>188240</v>
      </c>
      <c r="F19" s="55">
        <f t="shared" si="3"/>
        <v>235840</v>
      </c>
    </row>
    <row r="20" spans="1:6" s="50" customFormat="1" ht="14.25">
      <c r="A20" s="47">
        <v>14</v>
      </c>
      <c r="B20" s="48">
        <v>570000</v>
      </c>
      <c r="C20" s="48">
        <f t="shared" si="0"/>
        <v>51300</v>
      </c>
      <c r="D20" s="52">
        <f t="shared" si="1"/>
        <v>116110</v>
      </c>
      <c r="E20" s="52">
        <f t="shared" si="2"/>
        <v>192070</v>
      </c>
      <c r="F20" s="55">
        <f t="shared" si="3"/>
        <v>240410</v>
      </c>
    </row>
    <row r="21" spans="1:6" s="50" customFormat="1" ht="14.25">
      <c r="A21" s="13">
        <v>15</v>
      </c>
      <c r="B21" s="14">
        <v>620000</v>
      </c>
      <c r="C21" s="14">
        <f t="shared" si="0"/>
        <v>55800</v>
      </c>
      <c r="D21" s="53">
        <f t="shared" si="1"/>
        <v>118530</v>
      </c>
      <c r="E21" s="53">
        <f t="shared" si="2"/>
        <v>195890</v>
      </c>
      <c r="F21" s="56">
        <f t="shared" si="3"/>
        <v>244970</v>
      </c>
    </row>
    <row r="22" spans="1:6" s="50" customFormat="1" ht="14.25">
      <c r="A22" s="47">
        <v>16</v>
      </c>
      <c r="B22" s="48">
        <v>670000</v>
      </c>
      <c r="C22" s="48">
        <f t="shared" si="0"/>
        <v>60300</v>
      </c>
      <c r="D22" s="52">
        <f t="shared" si="1"/>
        <v>120960</v>
      </c>
      <c r="E22" s="52">
        <f t="shared" si="2"/>
        <v>199710</v>
      </c>
      <c r="F22" s="55">
        <f t="shared" si="3"/>
        <v>249530</v>
      </c>
    </row>
    <row r="23" spans="1:6" s="50" customFormat="1" ht="14.25">
      <c r="A23" s="47">
        <v>17</v>
      </c>
      <c r="B23" s="48">
        <v>730000</v>
      </c>
      <c r="C23" s="48">
        <f t="shared" si="0"/>
        <v>65700</v>
      </c>
      <c r="D23" s="52">
        <f t="shared" si="1"/>
        <v>123870</v>
      </c>
      <c r="E23" s="52">
        <f t="shared" si="2"/>
        <v>204290</v>
      </c>
      <c r="F23" s="55">
        <f t="shared" si="3"/>
        <v>255010</v>
      </c>
    </row>
    <row r="24" spans="1:6" s="50" customFormat="1" ht="14.25">
      <c r="A24" s="47">
        <v>18</v>
      </c>
      <c r="B24" s="48">
        <v>790000</v>
      </c>
      <c r="C24" s="48">
        <f t="shared" si="0"/>
        <v>71100</v>
      </c>
      <c r="D24" s="52">
        <f t="shared" si="1"/>
        <v>126780</v>
      </c>
      <c r="E24" s="52">
        <f t="shared" si="2"/>
        <v>208880</v>
      </c>
      <c r="F24" s="55">
        <f t="shared" si="3"/>
        <v>260490</v>
      </c>
    </row>
    <row r="25" spans="1:6" s="50" customFormat="1" ht="14.25">
      <c r="A25" s="47">
        <v>19</v>
      </c>
      <c r="B25" s="48">
        <v>850000</v>
      </c>
      <c r="C25" s="48">
        <f t="shared" si="0"/>
        <v>76500</v>
      </c>
      <c r="D25" s="52">
        <f t="shared" si="1"/>
        <v>129690</v>
      </c>
      <c r="E25" s="52">
        <f t="shared" si="2"/>
        <v>213460</v>
      </c>
      <c r="F25" s="55">
        <f t="shared" si="3"/>
        <v>265960</v>
      </c>
    </row>
    <row r="26" spans="1:6" s="50" customFormat="1" ht="14.25">
      <c r="A26" s="13">
        <v>20</v>
      </c>
      <c r="B26" s="14">
        <v>920000</v>
      </c>
      <c r="C26" s="14">
        <f t="shared" si="0"/>
        <v>82800</v>
      </c>
      <c r="D26" s="53">
        <f t="shared" si="1"/>
        <v>133080</v>
      </c>
      <c r="E26" s="53">
        <f t="shared" si="2"/>
        <v>218810</v>
      </c>
      <c r="F26" s="56">
        <f t="shared" si="3"/>
        <v>272350</v>
      </c>
    </row>
    <row r="27" spans="1:6" s="50" customFormat="1" ht="14.25">
      <c r="A27" s="47">
        <v>21</v>
      </c>
      <c r="B27" s="48">
        <v>990000</v>
      </c>
      <c r="C27" s="48">
        <f t="shared" si="0"/>
        <v>89100</v>
      </c>
      <c r="D27" s="52">
        <f t="shared" si="1"/>
        <v>136480</v>
      </c>
      <c r="E27" s="52">
        <f t="shared" si="2"/>
        <v>224160</v>
      </c>
      <c r="F27" s="55">
        <f t="shared" si="3"/>
        <v>278740</v>
      </c>
    </row>
    <row r="28" spans="1:6" s="50" customFormat="1" ht="14.25">
      <c r="A28" s="47">
        <v>22</v>
      </c>
      <c r="B28" s="48">
        <v>1060000</v>
      </c>
      <c r="C28" s="48">
        <f t="shared" si="0"/>
        <v>95400</v>
      </c>
      <c r="D28" s="52">
        <f t="shared" si="1"/>
        <v>139870</v>
      </c>
      <c r="E28" s="52">
        <f t="shared" si="2"/>
        <v>229510</v>
      </c>
      <c r="F28" s="55">
        <f t="shared" si="3"/>
        <v>285130</v>
      </c>
    </row>
    <row r="29" spans="1:6" s="50" customFormat="1" ht="14.25">
      <c r="A29" s="47">
        <v>23</v>
      </c>
      <c r="B29" s="48">
        <v>1130000</v>
      </c>
      <c r="C29" s="48">
        <f t="shared" si="0"/>
        <v>101700</v>
      </c>
      <c r="D29" s="52">
        <f t="shared" si="1"/>
        <v>143270</v>
      </c>
      <c r="E29" s="52">
        <f t="shared" si="2"/>
        <v>234860</v>
      </c>
      <c r="F29" s="55">
        <f t="shared" si="3"/>
        <v>291520</v>
      </c>
    </row>
    <row r="30" spans="1:6" s="50" customFormat="1" ht="14.25">
      <c r="A30" s="47">
        <v>24</v>
      </c>
      <c r="B30" s="48">
        <v>1210000</v>
      </c>
      <c r="C30" s="48">
        <f t="shared" si="0"/>
        <v>108900</v>
      </c>
      <c r="D30" s="52">
        <f t="shared" si="1"/>
        <v>147150</v>
      </c>
      <c r="E30" s="52">
        <f t="shared" si="2"/>
        <v>240970</v>
      </c>
      <c r="F30" s="55">
        <f t="shared" si="3"/>
        <v>298820</v>
      </c>
    </row>
    <row r="31" spans="1:6" s="50" customFormat="1" ht="14.25">
      <c r="A31" s="13">
        <v>25</v>
      </c>
      <c r="B31" s="14">
        <v>1290000</v>
      </c>
      <c r="C31" s="14">
        <f t="shared" si="0"/>
        <v>116100</v>
      </c>
      <c r="D31" s="53">
        <f t="shared" si="1"/>
        <v>151030</v>
      </c>
      <c r="E31" s="53">
        <f t="shared" si="2"/>
        <v>247090</v>
      </c>
      <c r="F31" s="56">
        <f t="shared" si="3"/>
        <v>306120</v>
      </c>
    </row>
    <row r="32" spans="1:6" s="50" customFormat="1" ht="14.25">
      <c r="A32" s="47">
        <v>26</v>
      </c>
      <c r="B32" s="48">
        <v>1380000</v>
      </c>
      <c r="C32" s="48">
        <f t="shared" si="0"/>
        <v>124200</v>
      </c>
      <c r="D32" s="52">
        <f t="shared" si="1"/>
        <v>155390</v>
      </c>
      <c r="E32" s="52">
        <f t="shared" si="2"/>
        <v>253960</v>
      </c>
      <c r="F32" s="55">
        <f t="shared" si="3"/>
        <v>314340</v>
      </c>
    </row>
    <row r="33" spans="1:6" s="50" customFormat="1" ht="14.25">
      <c r="A33" s="59" t="s">
        <v>96</v>
      </c>
      <c r="B33" s="60">
        <v>1457000</v>
      </c>
      <c r="C33" s="60">
        <v>131130</v>
      </c>
      <c r="D33" s="63">
        <f t="shared" si="1"/>
        <v>159130</v>
      </c>
      <c r="E33" s="63">
        <f t="shared" si="2"/>
        <v>259850</v>
      </c>
      <c r="F33" s="64">
        <f t="shared" si="3"/>
        <v>321370</v>
      </c>
    </row>
    <row r="34" spans="1:6" s="50" customFormat="1" ht="14.25">
      <c r="A34" s="47">
        <v>27</v>
      </c>
      <c r="B34" s="48">
        <v>1470000</v>
      </c>
      <c r="C34" s="48">
        <f t="shared" si="0"/>
        <v>132300</v>
      </c>
      <c r="D34" s="52">
        <f t="shared" si="1"/>
        <v>159760</v>
      </c>
      <c r="E34" s="52">
        <f t="shared" si="2"/>
        <v>260840</v>
      </c>
      <c r="F34" s="55">
        <f t="shared" si="3"/>
        <v>322550</v>
      </c>
    </row>
    <row r="35" spans="1:6" s="50" customFormat="1" ht="14.25">
      <c r="A35" s="47">
        <v>28</v>
      </c>
      <c r="B35" s="48">
        <v>1560000</v>
      </c>
      <c r="C35" s="48">
        <f t="shared" si="0"/>
        <v>140400</v>
      </c>
      <c r="D35" s="52">
        <f t="shared" si="1"/>
        <v>164120</v>
      </c>
      <c r="E35" s="52">
        <f t="shared" si="2"/>
        <v>267720</v>
      </c>
      <c r="F35" s="55">
        <f t="shared" si="3"/>
        <v>330770</v>
      </c>
    </row>
    <row r="36" spans="1:6" s="50" customFormat="1" ht="14.25">
      <c r="A36" s="47">
        <v>29</v>
      </c>
      <c r="B36" s="48">
        <v>1660000</v>
      </c>
      <c r="C36" s="48">
        <f t="shared" si="0"/>
        <v>149400</v>
      </c>
      <c r="D36" s="52">
        <f t="shared" si="1"/>
        <v>168970</v>
      </c>
      <c r="E36" s="52">
        <f t="shared" si="2"/>
        <v>275360</v>
      </c>
      <c r="F36" s="55">
        <f t="shared" si="3"/>
        <v>339900</v>
      </c>
    </row>
    <row r="37" spans="1:6" s="50" customFormat="1" ht="14.25">
      <c r="A37" s="13">
        <v>30</v>
      </c>
      <c r="B37" s="14">
        <v>1760000</v>
      </c>
      <c r="C37" s="14">
        <f t="shared" si="0"/>
        <v>158400</v>
      </c>
      <c r="D37" s="53">
        <f t="shared" si="1"/>
        <v>173820</v>
      </c>
      <c r="E37" s="53">
        <f t="shared" si="2"/>
        <v>283000</v>
      </c>
      <c r="F37" s="56">
        <f t="shared" si="3"/>
        <v>349020</v>
      </c>
    </row>
    <row r="38" spans="1:6" s="50" customFormat="1" ht="14.25">
      <c r="A38" s="47">
        <v>31</v>
      </c>
      <c r="B38" s="48">
        <v>1860000</v>
      </c>
      <c r="C38" s="48">
        <f t="shared" si="0"/>
        <v>167400</v>
      </c>
      <c r="D38" s="52">
        <f t="shared" si="1"/>
        <v>178670</v>
      </c>
      <c r="E38" s="52">
        <f t="shared" si="2"/>
        <v>290640</v>
      </c>
      <c r="F38" s="55">
        <f t="shared" si="3"/>
        <v>358150</v>
      </c>
    </row>
    <row r="39" spans="1:6" s="50" customFormat="1" ht="14.25">
      <c r="A39" s="47">
        <v>32</v>
      </c>
      <c r="B39" s="48">
        <v>1970000</v>
      </c>
      <c r="C39" s="48">
        <f t="shared" si="0"/>
        <v>177300</v>
      </c>
      <c r="D39" s="52">
        <f t="shared" si="1"/>
        <v>184010</v>
      </c>
      <c r="E39" s="52">
        <f t="shared" si="2"/>
        <v>299050</v>
      </c>
      <c r="F39" s="55">
        <f t="shared" si="3"/>
        <v>368190</v>
      </c>
    </row>
    <row r="40" spans="1:6" s="50" customFormat="1" ht="14.25">
      <c r="A40" s="47">
        <v>33</v>
      </c>
      <c r="B40" s="48">
        <v>2080000</v>
      </c>
      <c r="C40" s="48">
        <f t="shared" si="0"/>
        <v>187200</v>
      </c>
      <c r="D40" s="52">
        <f t="shared" si="1"/>
        <v>189340</v>
      </c>
      <c r="E40" s="52">
        <f t="shared" si="2"/>
        <v>307450</v>
      </c>
      <c r="F40" s="55">
        <f t="shared" si="3"/>
        <v>378230</v>
      </c>
    </row>
    <row r="41" spans="1:6" s="50" customFormat="1" ht="14.25">
      <c r="A41" s="47">
        <v>34</v>
      </c>
      <c r="B41" s="48">
        <v>2190000</v>
      </c>
      <c r="C41" s="48">
        <f t="shared" si="0"/>
        <v>197100</v>
      </c>
      <c r="D41" s="52">
        <f t="shared" si="1"/>
        <v>194680</v>
      </c>
      <c r="E41" s="52">
        <f t="shared" si="2"/>
        <v>315860</v>
      </c>
      <c r="F41" s="55">
        <f t="shared" si="3"/>
        <v>388270</v>
      </c>
    </row>
    <row r="42" spans="1:6" s="50" customFormat="1" ht="14.25">
      <c r="A42" s="13">
        <v>35</v>
      </c>
      <c r="B42" s="14">
        <v>2300000</v>
      </c>
      <c r="C42" s="14">
        <f t="shared" si="0"/>
        <v>207000</v>
      </c>
      <c r="D42" s="53">
        <f t="shared" si="1"/>
        <v>200010</v>
      </c>
      <c r="E42" s="53">
        <f t="shared" si="2"/>
        <v>324270</v>
      </c>
      <c r="F42" s="56">
        <f t="shared" si="3"/>
        <v>398310</v>
      </c>
    </row>
    <row r="43" spans="1:6" s="50" customFormat="1" ht="14.25">
      <c r="A43" s="47">
        <v>36</v>
      </c>
      <c r="B43" s="48">
        <v>2420000</v>
      </c>
      <c r="C43" s="48">
        <f t="shared" si="0"/>
        <v>217800</v>
      </c>
      <c r="D43" s="52">
        <f t="shared" si="1"/>
        <v>205830</v>
      </c>
      <c r="E43" s="52">
        <f t="shared" si="2"/>
        <v>333440</v>
      </c>
      <c r="F43" s="55">
        <f t="shared" si="3"/>
        <v>409270</v>
      </c>
    </row>
    <row r="44" spans="1:6" s="50" customFormat="1" ht="14.25">
      <c r="A44" s="47">
        <v>37</v>
      </c>
      <c r="B44" s="48">
        <v>2540000</v>
      </c>
      <c r="C44" s="48">
        <f t="shared" si="0"/>
        <v>228600</v>
      </c>
      <c r="D44" s="52">
        <f t="shared" si="1"/>
        <v>211650</v>
      </c>
      <c r="E44" s="52">
        <f t="shared" si="2"/>
        <v>342610</v>
      </c>
      <c r="F44" s="55">
        <f t="shared" si="3"/>
        <v>420220</v>
      </c>
    </row>
    <row r="45" spans="1:6" s="50" customFormat="1" ht="14.25">
      <c r="A45" s="47">
        <v>38</v>
      </c>
      <c r="B45" s="48">
        <v>2670000</v>
      </c>
      <c r="C45" s="48">
        <f t="shared" si="0"/>
        <v>240300</v>
      </c>
      <c r="D45" s="52">
        <f t="shared" si="1"/>
        <v>217960</v>
      </c>
      <c r="E45" s="52">
        <f t="shared" si="2"/>
        <v>352540</v>
      </c>
      <c r="F45" s="55">
        <f t="shared" si="3"/>
        <v>432080</v>
      </c>
    </row>
    <row r="46" spans="1:6" s="50" customFormat="1" ht="14.25">
      <c r="A46" s="47">
        <v>39</v>
      </c>
      <c r="B46" s="48">
        <v>2800000</v>
      </c>
      <c r="C46" s="48">
        <f t="shared" si="0"/>
        <v>252000</v>
      </c>
      <c r="D46" s="52">
        <f t="shared" si="1"/>
        <v>224260</v>
      </c>
      <c r="E46" s="52">
        <f t="shared" si="2"/>
        <v>362470</v>
      </c>
      <c r="F46" s="55">
        <f t="shared" si="3"/>
        <v>443950</v>
      </c>
    </row>
    <row r="47" spans="1:6" s="50" customFormat="1" ht="14.25">
      <c r="A47" s="13">
        <v>40</v>
      </c>
      <c r="B47" s="14">
        <v>2940000</v>
      </c>
      <c r="C47" s="14">
        <f t="shared" si="0"/>
        <v>264600</v>
      </c>
      <c r="D47" s="53">
        <f t="shared" si="1"/>
        <v>231050</v>
      </c>
      <c r="E47" s="53">
        <f t="shared" si="2"/>
        <v>373170</v>
      </c>
      <c r="F47" s="56">
        <f t="shared" si="3"/>
        <v>456730</v>
      </c>
    </row>
    <row r="48" spans="1:6" s="50" customFormat="1" ht="14.25">
      <c r="A48" s="47">
        <v>41</v>
      </c>
      <c r="B48" s="48">
        <v>3080000</v>
      </c>
      <c r="C48" s="48">
        <f t="shared" si="0"/>
        <v>277200</v>
      </c>
      <c r="D48" s="52">
        <f t="shared" si="1"/>
        <v>237840</v>
      </c>
      <c r="E48" s="52">
        <f t="shared" si="2"/>
        <v>383870</v>
      </c>
      <c r="F48" s="55">
        <f t="shared" si="3"/>
        <v>469510</v>
      </c>
    </row>
    <row r="49" spans="1:6" s="50" customFormat="1" ht="14.25">
      <c r="A49" s="47">
        <v>42</v>
      </c>
      <c r="B49" s="48">
        <v>3230000</v>
      </c>
      <c r="C49" s="48">
        <f t="shared" si="0"/>
        <v>290700</v>
      </c>
      <c r="D49" s="52">
        <f t="shared" si="1"/>
        <v>245120</v>
      </c>
      <c r="E49" s="52">
        <f t="shared" si="2"/>
        <v>395330</v>
      </c>
      <c r="F49" s="55">
        <f t="shared" si="3"/>
        <v>483200</v>
      </c>
    </row>
    <row r="50" spans="1:6" s="50" customFormat="1" ht="14.25">
      <c r="A50" s="47">
        <v>43</v>
      </c>
      <c r="B50" s="48">
        <v>3380000</v>
      </c>
      <c r="C50" s="48">
        <f t="shared" si="0"/>
        <v>304200</v>
      </c>
      <c r="D50" s="52">
        <f t="shared" si="1"/>
        <v>252390</v>
      </c>
      <c r="E50" s="52">
        <f t="shared" si="2"/>
        <v>406800</v>
      </c>
      <c r="F50" s="55">
        <f t="shared" si="3"/>
        <v>496890</v>
      </c>
    </row>
    <row r="51" spans="1:6" s="50" customFormat="1" ht="14.25">
      <c r="A51" s="47">
        <v>44</v>
      </c>
      <c r="B51" s="48">
        <v>3600000</v>
      </c>
      <c r="C51" s="48">
        <f t="shared" si="0"/>
        <v>324000</v>
      </c>
      <c r="D51" s="52">
        <f t="shared" si="1"/>
        <v>263060</v>
      </c>
      <c r="E51" s="52">
        <f t="shared" si="2"/>
        <v>423610</v>
      </c>
      <c r="F51" s="55">
        <f t="shared" si="3"/>
        <v>516970</v>
      </c>
    </row>
    <row r="52" spans="1:6" s="50" customFormat="1" ht="14.25">
      <c r="A52" s="13">
        <v>45</v>
      </c>
      <c r="B52" s="14">
        <v>3680000</v>
      </c>
      <c r="C52" s="14">
        <f t="shared" si="0"/>
        <v>331200</v>
      </c>
      <c r="D52" s="53">
        <f t="shared" si="1"/>
        <v>266940</v>
      </c>
      <c r="E52" s="53">
        <f t="shared" si="2"/>
        <v>429720</v>
      </c>
      <c r="F52" s="56">
        <f t="shared" si="3"/>
        <v>524270</v>
      </c>
    </row>
    <row r="53" spans="1:6" s="50" customFormat="1" ht="15" thickBot="1">
      <c r="A53" s="15">
        <v>46</v>
      </c>
      <c r="B53" s="16">
        <v>3750000</v>
      </c>
      <c r="C53" s="46">
        <f t="shared" si="0"/>
        <v>337500</v>
      </c>
      <c r="D53" s="72">
        <f t="shared" si="1"/>
        <v>270340</v>
      </c>
      <c r="E53" s="72">
        <f t="shared" si="2"/>
        <v>435070</v>
      </c>
      <c r="F53" s="71">
        <f t="shared" si="3"/>
        <v>530660</v>
      </c>
    </row>
    <row r="54" ht="14.25" thickTop="1"/>
    <row r="55" spans="1:7" ht="83.25" customHeight="1">
      <c r="A55" s="17" t="s">
        <v>0</v>
      </c>
      <c r="B55" s="84" t="s">
        <v>100</v>
      </c>
      <c r="C55" s="84"/>
      <c r="D55" s="84"/>
      <c r="E55" s="84"/>
      <c r="F55" s="84"/>
      <c r="G55" s="43"/>
    </row>
    <row r="56" spans="2:4" ht="13.5">
      <c r="B56" s="11" t="s">
        <v>93</v>
      </c>
      <c r="C56" s="11" t="s">
        <v>85</v>
      </c>
      <c r="D56" s="11" t="s">
        <v>86</v>
      </c>
    </row>
    <row r="57" spans="2:4" ht="13.5">
      <c r="B57" s="10" t="s">
        <v>87</v>
      </c>
      <c r="C57" s="10">
        <v>0</v>
      </c>
      <c r="D57" s="10">
        <v>0</v>
      </c>
    </row>
    <row r="58" spans="2:4" ht="13.5">
      <c r="B58" s="10" t="s">
        <v>88</v>
      </c>
      <c r="C58" s="10">
        <v>151490</v>
      </c>
      <c r="D58" s="10">
        <v>0</v>
      </c>
    </row>
    <row r="59" spans="2:4" ht="13.5">
      <c r="B59" s="10" t="s">
        <v>89</v>
      </c>
      <c r="C59" s="10">
        <v>151490</v>
      </c>
      <c r="D59" s="10">
        <v>0</v>
      </c>
    </row>
    <row r="60" spans="2:3" ht="13.5">
      <c r="B60" s="65"/>
      <c r="C60" s="1">
        <f>(C57*D57+C58*D58+C59*D59)/12</f>
        <v>0</v>
      </c>
    </row>
    <row r="61" ht="13.5"/>
    <row r="62" ht="13.5"/>
    <row r="63" ht="13.5"/>
    <row r="64" ht="13.5"/>
    <row r="65" ht="13.5"/>
    <row r="66" ht="13.5"/>
    <row r="67" ht="13.5"/>
    <row r="68" ht="13.5"/>
    <row r="69" ht="13.5"/>
    <row r="70" ht="13.5"/>
    <row r="71" ht="13.5"/>
    <row r="72" ht="13.5"/>
    <row r="73" ht="13.5"/>
  </sheetData>
  <sheetProtection/>
  <mergeCells count="4">
    <mergeCell ref="A5:A6"/>
    <mergeCell ref="B5:B6"/>
    <mergeCell ref="D5:F5"/>
    <mergeCell ref="B55:F55"/>
  </mergeCells>
  <printOptions/>
  <pageMargins left="0.7480314960629921" right="0.7480314960629921" top="0.984251968503937" bottom="0.984251968503937" header="0.5118110236220472" footer="0.5118110236220472"/>
  <pageSetup fitToHeight="1" fitToWidth="1" horizontalDpi="600" verticalDpi="600" orientation="portrait" paperSize="9"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국민연금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급여심사부</dc:creator>
  <cp:keywords/>
  <dc:description/>
  <cp:lastModifiedBy>김소영</cp:lastModifiedBy>
  <cp:lastPrinted>2011-02-17T07:27:02Z</cp:lastPrinted>
  <dcterms:created xsi:type="dcterms:W3CDTF">1998-05-11T06:11:23Z</dcterms:created>
  <dcterms:modified xsi:type="dcterms:W3CDTF">2011-06-22T05:48:09Z</dcterms:modified>
  <cp:category/>
  <cp:version/>
  <cp:contentType/>
  <cp:contentStatus/>
</cp:coreProperties>
</file>